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2435" tabRatio="885" firstSheet="28" activeTab="33"/>
  </bookViews>
  <sheets>
    <sheet name="Исходные данные" sheetId="100" state="hidden" r:id="rId1"/>
    <sheet name="Факт. объемы" sheetId="55" state="hidden" r:id="rId2"/>
    <sheet name="Услуги связи" sheetId="3" state="hidden" r:id="rId3"/>
    <sheet name="Электроэнергия" sheetId="8" state="hidden" r:id="rId4"/>
    <sheet name="Тепло" sheetId="6" state="hidden" r:id="rId5"/>
    <sheet name="Водопотребление" sheetId="9" state="hidden" r:id="rId6"/>
    <sheet name="Водоотведение" sheetId="10" state="hidden" r:id="rId7"/>
    <sheet name="Жбо" sheetId="12" state="hidden" r:id="rId8"/>
    <sheet name="Выгреб" sheetId="11" state="hidden" r:id="rId9"/>
    <sheet name="ТКО" sheetId="13" state="hidden" r:id="rId10"/>
    <sheet name="Дератизация, дезинсекция" sheetId="14" state="hidden" r:id="rId11"/>
    <sheet name="Заправка огнетушителей" sheetId="16" state="hidden" r:id="rId12"/>
    <sheet name="Охрана" sheetId="110" state="hidden" r:id="rId13"/>
    <sheet name="Обслуживание КТС" sheetId="17" state="hidden" r:id="rId14"/>
    <sheet name="Обслуживание АПС" sheetId="51" state="hidden" r:id="rId15"/>
    <sheet name="Тех. обсл. газ. сетей" sheetId="20" state="hidden" r:id="rId16"/>
    <sheet name="Стрелец- мониторинг" sheetId="53" state="hidden" r:id="rId17"/>
    <sheet name="Обслуживание груз. лифта" sheetId="61" state="hidden" r:id="rId18"/>
    <sheet name="Лабораторные исследования" sheetId="15" state="hidden" r:id="rId19"/>
    <sheet name="Абон. плата охраны по КТС" sheetId="18" state="hidden" r:id="rId20"/>
    <sheet name="Программный продукт" sheetId="33" state="hidden" r:id="rId21"/>
    <sheet name="Аутсорсинг" sheetId="21" state="hidden" r:id="rId22"/>
    <sheet name="Подписка" sheetId="35" state="hidden" r:id="rId23"/>
    <sheet name="Налог на имущество" sheetId="22" state="hidden" r:id="rId24"/>
    <sheet name="Налог на землю" sheetId="23" state="hidden" r:id="rId25"/>
    <sheet name="Канцтовары" sheetId="34" state="hidden" r:id="rId26"/>
    <sheet name="Хозрасходы" sheetId="36" state="hidden" r:id="rId27"/>
    <sheet name="Численность (2)" sheetId="111" state="hidden" r:id="rId28"/>
    <sheet name="Численность" sheetId="99" r:id="rId29"/>
    <sheet name="Моющие" sheetId="37" r:id="rId30"/>
    <sheet name="Моющие по прайсу" sheetId="112" r:id="rId31"/>
    <sheet name="Мягкий инвентарь" sheetId="38" r:id="rId32"/>
    <sheet name="Питание норматив" sheetId="39" r:id="rId33"/>
    <sheet name="Питание" sheetId="81" r:id="rId34"/>
    <sheet name="Родительская плата " sheetId="2" r:id="rId35"/>
    <sheet name="ОХ2021" sheetId="102" state="hidden" r:id="rId36"/>
    <sheet name="Налоги 2021" sheetId="104" state="hidden" r:id="rId37"/>
    <sheet name="БН реализация 2021" sheetId="86" state="hidden" r:id="rId38"/>
    <sheet name="БН присмотр 2021" sheetId="85" state="hidden" r:id="rId39"/>
    <sheet name="Общий 2021" sheetId="87" state="hidden" r:id="rId40"/>
    <sheet name="Налоги 2022" sheetId="105" state="hidden" r:id="rId41"/>
    <sheet name="БН реализация 2022" sheetId="93" state="hidden" r:id="rId42"/>
    <sheet name="БН присмотр 2022" sheetId="94" state="hidden" r:id="rId43"/>
    <sheet name="Общий 2022" sheetId="95" state="hidden" r:id="rId44"/>
    <sheet name="Налоги 2023" sheetId="107" state="hidden" r:id="rId45"/>
    <sheet name="БН Реализация 2023" sheetId="90" state="hidden" r:id="rId46"/>
    <sheet name="БН присмотр 2023" sheetId="96" state="hidden" r:id="rId47"/>
    <sheet name="Общий 2023" sheetId="97" state="hidden" r:id="rId48"/>
    <sheet name="Коэффициенты" sheetId="88" state="hidden" r:id="rId49"/>
    <sheet name="Результаты расчетов" sheetId="98" state="hidden" r:id="rId50"/>
    <sheet name="Нормативы" sheetId="109" state="hidden" r:id="rId51"/>
  </sheets>
  <externalReferences>
    <externalReference r:id="rId52"/>
  </externalReferences>
  <definedNames>
    <definedName name="_xlnm._FilterDatabase" localSheetId="49" hidden="1">'Результаты расчетов'!$A$5:$W$5</definedName>
    <definedName name="А1" localSheetId="30">#REF!</definedName>
    <definedName name="А1" localSheetId="27">#REF!</definedName>
    <definedName name="А1">#REF!</definedName>
    <definedName name="_xlnm.Print_Titles" localSheetId="6">Водоотведение!$A:$A</definedName>
    <definedName name="_xlnm.Print_Titles" localSheetId="5">Водопотребление!$A:$A</definedName>
    <definedName name="_xlnm.Print_Titles" localSheetId="8">Выгреб!$A:$A</definedName>
    <definedName name="_xlnm.Print_Titles" localSheetId="10">'Дератизация, дезинсекция'!$A:$A</definedName>
    <definedName name="_xlnm.Print_Titles" localSheetId="7">Жбо!$A:$A</definedName>
    <definedName name="_xlnm.Print_Titles" localSheetId="4">Тепло!$A:$A</definedName>
    <definedName name="_xlnm.Print_Titles" localSheetId="3">Электроэнергия!$A:$A</definedName>
    <definedName name="_xlnm.Print_Area" localSheetId="19">'Абон. плата охраны по КТС'!$A$1:$H$31</definedName>
    <definedName name="_xlnm.Print_Area" localSheetId="21">Аутсорсинг!$A$1:$P$22</definedName>
    <definedName name="_xlnm.Print_Area" localSheetId="38">'БН присмотр 2021'!$A$1:$D$12</definedName>
    <definedName name="_xlnm.Print_Area" localSheetId="37">'БН реализация 2021'!$A$1:$AA$8</definedName>
    <definedName name="_xlnm.Print_Area" localSheetId="6">Водоотведение!$A$1:$R$16</definedName>
    <definedName name="_xlnm.Print_Area" localSheetId="5">Водопотребление!$A$1:$R$16</definedName>
    <definedName name="_xlnm.Print_Area" localSheetId="8">Выгреб!$A$1:$R$11</definedName>
    <definedName name="_xlnm.Print_Area" localSheetId="7">Жбо!$A$1:$N$10</definedName>
    <definedName name="_xlnm.Print_Area" localSheetId="11">'Заправка огнетушителей'!$A$1:$K$23</definedName>
    <definedName name="_xlnm.Print_Area" localSheetId="25">Канцтовары!$A$1:$E$33</definedName>
    <definedName name="_xlnm.Print_Area" localSheetId="48">Коэффициенты!$A$1:$Q$14</definedName>
    <definedName name="_xlnm.Print_Area" localSheetId="18">'Лабораторные исследования'!$A$1:$F$14</definedName>
    <definedName name="_xlnm.Print_Area" localSheetId="29">Моющие!$A$1:$K$52</definedName>
    <definedName name="_xlnm.Print_Area" localSheetId="30">'Моющие по прайсу'!$A$1:$K$52</definedName>
    <definedName name="_xlnm.Print_Area" localSheetId="31">'Мягкий инвентарь'!$A$1:$K$43</definedName>
    <definedName name="_xlnm.Print_Area" localSheetId="24">'Налог на землю'!$A$1:$G$27</definedName>
    <definedName name="_xlnm.Print_Area" localSheetId="23">'Налог на имущество'!$A$1:$G$15</definedName>
    <definedName name="_xlnm.Print_Area" localSheetId="36">'Налоги 2021'!$A$1:$F$15</definedName>
    <definedName name="_xlnm.Print_Area" localSheetId="50">Нормативы!$A$1:$O$37</definedName>
    <definedName name="_xlnm.Print_Area" localSheetId="14">'Обслуживание АПС'!$A$1:$H$22</definedName>
    <definedName name="_xlnm.Print_Area" localSheetId="17">'Обслуживание груз. лифта'!$A$1:$D$5</definedName>
    <definedName name="_xlnm.Print_Area" localSheetId="13">'Обслуживание КТС'!$A$1:$H$29</definedName>
    <definedName name="_xlnm.Print_Area" localSheetId="39">'Общий 2021'!$A$1:$M$22</definedName>
    <definedName name="_xlnm.Print_Area" localSheetId="35">ОХ2021!$A$1:$AE$14</definedName>
    <definedName name="_xlnm.Print_Area" localSheetId="12">Охрана!$A$1:$VLG$29</definedName>
    <definedName name="_xlnm.Print_Area" localSheetId="33">Питание!$A$1:$AK$31</definedName>
    <definedName name="_xlnm.Print_Area" localSheetId="32">'Питание норматив'!$A$1:$X$43</definedName>
    <definedName name="_xlnm.Print_Area" localSheetId="49">'Результаты расчетов'!$A$1:$Q$488</definedName>
    <definedName name="_xlnm.Print_Area" localSheetId="34">'Родительская плата '!$A$1:$AJ$30</definedName>
    <definedName name="_xlnm.Print_Area" localSheetId="16">'Стрелец- мониторинг'!$A$1:$H$28</definedName>
    <definedName name="_xlnm.Print_Area" localSheetId="4">Тепло!$A$1:$R$22</definedName>
    <definedName name="_xlnm.Print_Area" localSheetId="9">ТКО!$A$1:$P$18</definedName>
    <definedName name="_xlnm.Print_Area" localSheetId="28">Численность!$A$1:$BB$33</definedName>
    <definedName name="_xlnm.Print_Area" localSheetId="27">'Численность (2)'!$A$1:$AX$34</definedName>
  </definedNames>
  <calcPr calcId="152511"/>
</workbook>
</file>

<file path=xl/calcChain.xml><?xml version="1.0" encoding="utf-8"?>
<calcChain xmlns="http://schemas.openxmlformats.org/spreadsheetml/2006/main">
  <c r="AA28" i="81" l="1"/>
  <c r="Z28" i="81"/>
  <c r="AA27" i="81"/>
  <c r="Z27" i="81"/>
  <c r="AA26" i="81"/>
  <c r="Z26" i="81"/>
  <c r="AA25" i="81"/>
  <c r="Z25" i="81"/>
  <c r="AA24" i="81"/>
  <c r="Z24" i="81"/>
  <c r="AA23" i="81"/>
  <c r="Z23" i="81"/>
  <c r="AA22" i="81"/>
  <c r="Z22" i="81"/>
  <c r="AA21" i="81"/>
  <c r="Z21" i="81"/>
  <c r="AA20" i="81"/>
  <c r="Z20" i="81"/>
  <c r="AA19" i="81"/>
  <c r="Z19" i="81"/>
  <c r="AA18" i="81"/>
  <c r="Z18" i="81"/>
  <c r="AA17" i="81"/>
  <c r="Z17" i="81"/>
  <c r="AA16" i="81"/>
  <c r="Z16" i="81"/>
  <c r="AA15" i="81"/>
  <c r="Z15" i="81"/>
  <c r="AA14" i="81"/>
  <c r="Z14" i="81"/>
  <c r="AA13" i="81"/>
  <c r="Z13" i="81"/>
  <c r="AA12" i="81"/>
  <c r="Z12" i="81"/>
  <c r="AA11" i="81"/>
  <c r="Z11" i="81"/>
  <c r="AA10" i="81"/>
  <c r="Z10" i="81"/>
  <c r="AA9" i="81"/>
  <c r="Z9" i="81"/>
  <c r="AA8" i="81"/>
  <c r="Z8" i="81"/>
  <c r="AA7" i="81"/>
  <c r="Z7" i="81"/>
  <c r="AA6" i="81"/>
  <c r="Z6" i="81"/>
  <c r="AA5" i="81"/>
  <c r="Z5" i="81"/>
  <c r="P39" i="39"/>
  <c r="N37" i="39"/>
  <c r="N39" i="39" s="1"/>
  <c r="P36" i="39"/>
  <c r="R36" i="39" s="1"/>
  <c r="O36" i="39"/>
  <c r="P35" i="39"/>
  <c r="R35" i="39" s="1"/>
  <c r="O35" i="39"/>
  <c r="R34" i="39"/>
  <c r="P34" i="39"/>
  <c r="O34" i="39"/>
  <c r="P33" i="39"/>
  <c r="R33" i="39" s="1"/>
  <c r="O33" i="39"/>
  <c r="R32" i="39"/>
  <c r="P32" i="39"/>
  <c r="O32" i="39"/>
  <c r="P31" i="39"/>
  <c r="R31" i="39" s="1"/>
  <c r="O31" i="39"/>
  <c r="P30" i="39"/>
  <c r="R30" i="39" s="1"/>
  <c r="O30" i="39"/>
  <c r="P29" i="39"/>
  <c r="R29" i="39" s="1"/>
  <c r="O29" i="39"/>
  <c r="R28" i="39"/>
  <c r="P28" i="39"/>
  <c r="O28" i="39"/>
  <c r="P27" i="39"/>
  <c r="R27" i="39" s="1"/>
  <c r="O27" i="39"/>
  <c r="R26" i="39"/>
  <c r="P26" i="39"/>
  <c r="O26" i="39"/>
  <c r="P25" i="39"/>
  <c r="R25" i="39" s="1"/>
  <c r="O25" i="39"/>
  <c r="P24" i="39"/>
  <c r="R24" i="39" s="1"/>
  <c r="O24" i="39"/>
  <c r="P23" i="39"/>
  <c r="R23" i="39" s="1"/>
  <c r="O23" i="39"/>
  <c r="R22" i="39"/>
  <c r="P22" i="39"/>
  <c r="O22" i="39"/>
  <c r="Q21" i="39"/>
  <c r="Q37" i="39" s="1"/>
  <c r="M21" i="39"/>
  <c r="P21" i="39" s="1"/>
  <c r="R21" i="39" s="1"/>
  <c r="R20" i="39"/>
  <c r="P20" i="39"/>
  <c r="O20" i="39"/>
  <c r="P19" i="39"/>
  <c r="R19" i="39" s="1"/>
  <c r="O19" i="39"/>
  <c r="R18" i="39"/>
  <c r="P18" i="39"/>
  <c r="O18" i="39"/>
  <c r="P17" i="39"/>
  <c r="R17" i="39" s="1"/>
  <c r="O17" i="39"/>
  <c r="P16" i="39"/>
  <c r="R16" i="39" s="1"/>
  <c r="O16" i="39"/>
  <c r="P15" i="39"/>
  <c r="R15" i="39" s="1"/>
  <c r="O15" i="39"/>
  <c r="R14" i="39"/>
  <c r="P14" i="39"/>
  <c r="O14" i="39"/>
  <c r="P13" i="39"/>
  <c r="R13" i="39" s="1"/>
  <c r="O13" i="39"/>
  <c r="R12" i="39"/>
  <c r="P12" i="39"/>
  <c r="O12" i="39"/>
  <c r="P11" i="39"/>
  <c r="R11" i="39" s="1"/>
  <c r="O11" i="39"/>
  <c r="P10" i="39"/>
  <c r="R10" i="39" s="1"/>
  <c r="O10" i="39"/>
  <c r="P9" i="39"/>
  <c r="R9" i="39" s="1"/>
  <c r="O9" i="39"/>
  <c r="R8" i="39"/>
  <c r="P8" i="39"/>
  <c r="O8" i="39"/>
  <c r="P7" i="39"/>
  <c r="R7" i="39" s="1"/>
  <c r="O7" i="39"/>
  <c r="O21" i="39" l="1"/>
  <c r="O37" i="39"/>
  <c r="R37" i="39"/>
  <c r="Q40" i="39" s="1"/>
  <c r="R40" i="39" s="1"/>
  <c r="R39" i="39"/>
  <c r="O39" i="39"/>
  <c r="N40" i="39"/>
  <c r="O40" i="39" s="1"/>
  <c r="T30" i="2" l="1"/>
  <c r="S30" i="2"/>
  <c r="AF6" i="99" l="1"/>
  <c r="U20" i="99" l="1"/>
  <c r="D21" i="39" l="1"/>
  <c r="BB20" i="99"/>
  <c r="AW23" i="99"/>
  <c r="AW24" i="99"/>
  <c r="AW25" i="99"/>
  <c r="AW26" i="99"/>
  <c r="AW27" i="99"/>
  <c r="AW28" i="99"/>
  <c r="AW29" i="99"/>
  <c r="AU22" i="99"/>
  <c r="AU23" i="99"/>
  <c r="AU24" i="99"/>
  <c r="AU25" i="99"/>
  <c r="AU26" i="99"/>
  <c r="AU27" i="99"/>
  <c r="AU28" i="99"/>
  <c r="AU29" i="99"/>
  <c r="AS23" i="99"/>
  <c r="AS25" i="99"/>
  <c r="AS26" i="99"/>
  <c r="AS28" i="99"/>
  <c r="AR26" i="99"/>
  <c r="AR27" i="99"/>
  <c r="AR28" i="99"/>
  <c r="AR29" i="99"/>
  <c r="AQ28" i="99"/>
  <c r="F27" i="81" s="1"/>
  <c r="AP26" i="99"/>
  <c r="E25" i="81" s="1"/>
  <c r="BA28" i="99"/>
  <c r="AZ28" i="99"/>
  <c r="AY28" i="99"/>
  <c r="AX28" i="99"/>
  <c r="AV28" i="99"/>
  <c r="AT28" i="99"/>
  <c r="U28" i="99"/>
  <c r="T28" i="99"/>
  <c r="BC28" i="99" s="1"/>
  <c r="AO28" i="99"/>
  <c r="AN28" i="99"/>
  <c r="AM28" i="99"/>
  <c r="AL28" i="99"/>
  <c r="AK28" i="99"/>
  <c r="AJ28" i="99"/>
  <c r="AI28" i="99"/>
  <c r="AH28" i="99"/>
  <c r="AG28" i="99"/>
  <c r="AF28" i="99"/>
  <c r="C27" i="81" s="1"/>
  <c r="BA26" i="99"/>
  <c r="AZ26" i="99"/>
  <c r="AY26" i="99"/>
  <c r="AX26" i="99"/>
  <c r="AV26" i="99"/>
  <c r="AT26" i="99"/>
  <c r="U26" i="99"/>
  <c r="AQ26" i="99" s="1"/>
  <c r="F25" i="81" s="1"/>
  <c r="T26" i="99"/>
  <c r="BC26" i="99" s="1"/>
  <c r="AO26" i="99"/>
  <c r="AN26" i="99"/>
  <c r="AM26" i="99"/>
  <c r="AL26" i="99"/>
  <c r="AK26" i="99"/>
  <c r="AJ26" i="99"/>
  <c r="AI26" i="99"/>
  <c r="AH26" i="99"/>
  <c r="AG26" i="99"/>
  <c r="AF26" i="99"/>
  <c r="C25" i="81" s="1"/>
  <c r="BA22" i="99"/>
  <c r="AZ22" i="99"/>
  <c r="AY22" i="99"/>
  <c r="AX22" i="99"/>
  <c r="AW22" i="99"/>
  <c r="AV22" i="99"/>
  <c r="AT22" i="99"/>
  <c r="AS22" i="99"/>
  <c r="U22" i="99"/>
  <c r="AQ22" i="99" s="1"/>
  <c r="F21" i="81" s="1"/>
  <c r="AO22" i="99"/>
  <c r="AN22" i="99"/>
  <c r="AM22" i="99"/>
  <c r="AL22" i="99"/>
  <c r="AK22" i="99"/>
  <c r="AJ22" i="99"/>
  <c r="AI22" i="99"/>
  <c r="AH22" i="99"/>
  <c r="AG22" i="99"/>
  <c r="D21" i="81" s="1"/>
  <c r="AF22" i="99"/>
  <c r="BA21" i="99"/>
  <c r="AZ21" i="99"/>
  <c r="AY21" i="99"/>
  <c r="AX21" i="99"/>
  <c r="AW21" i="99"/>
  <c r="AV21" i="99"/>
  <c r="AU21" i="99"/>
  <c r="AT21" i="99"/>
  <c r="AS21" i="99"/>
  <c r="U21" i="99"/>
  <c r="AQ21" i="99" s="1"/>
  <c r="F20" i="81" s="1"/>
  <c r="AO21" i="99"/>
  <c r="AN21" i="99"/>
  <c r="AM21" i="99"/>
  <c r="AL21" i="99"/>
  <c r="AK21" i="99"/>
  <c r="AJ21" i="99"/>
  <c r="AI21" i="99"/>
  <c r="AH21" i="99"/>
  <c r="AG21" i="99"/>
  <c r="AF21" i="99"/>
  <c r="C20" i="81" s="1"/>
  <c r="U17" i="99"/>
  <c r="E26" i="2" l="1"/>
  <c r="R26" i="2" s="1"/>
  <c r="W25" i="81"/>
  <c r="AE25" i="81" s="1"/>
  <c r="E22" i="2"/>
  <c r="R22" i="2" s="1"/>
  <c r="W21" i="81"/>
  <c r="AE21" i="81" s="1"/>
  <c r="E21" i="2"/>
  <c r="R21" i="2" s="1"/>
  <c r="W20" i="81"/>
  <c r="AE20" i="81" s="1"/>
  <c r="B21" i="2"/>
  <c r="O21" i="2" s="1"/>
  <c r="T20" i="81"/>
  <c r="AB20" i="81" s="1"/>
  <c r="C22" i="2"/>
  <c r="P22" i="2" s="1"/>
  <c r="U21" i="81"/>
  <c r="AC21" i="81" s="1"/>
  <c r="B26" i="2"/>
  <c r="O26" i="2" s="1"/>
  <c r="T25" i="81"/>
  <c r="AB25" i="81" s="1"/>
  <c r="B28" i="2"/>
  <c r="O28" i="2" s="1"/>
  <c r="T27" i="81"/>
  <c r="AB27" i="81" s="1"/>
  <c r="D26" i="2"/>
  <c r="Q26" i="2" s="1"/>
  <c r="V25" i="81"/>
  <c r="AD25" i="81" s="1"/>
  <c r="E28" i="2"/>
  <c r="R28" i="2" s="1"/>
  <c r="W27" i="81"/>
  <c r="AE27" i="81" s="1"/>
  <c r="D20" i="81"/>
  <c r="G21" i="81"/>
  <c r="D25" i="81"/>
  <c r="D27" i="81"/>
  <c r="AP28" i="99"/>
  <c r="E27" i="81" s="1"/>
  <c r="G20" i="81"/>
  <c r="C21" i="81"/>
  <c r="G25" i="81"/>
  <c r="G27" i="81"/>
  <c r="H20" i="81"/>
  <c r="H21" i="81"/>
  <c r="H25" i="81"/>
  <c r="H27" i="81"/>
  <c r="C42" i="37"/>
  <c r="C32" i="38" s="1"/>
  <c r="C43" i="37"/>
  <c r="C33" i="38" s="1"/>
  <c r="C47" i="37"/>
  <c r="C37" i="38" s="1"/>
  <c r="C49" i="37"/>
  <c r="C39" i="38" s="1"/>
  <c r="C42" i="112"/>
  <c r="C43" i="112"/>
  <c r="C47" i="112"/>
  <c r="C49" i="112"/>
  <c r="B47" i="37"/>
  <c r="B37" i="38" s="1"/>
  <c r="B49" i="37"/>
  <c r="B39" i="38" s="1"/>
  <c r="B47" i="112"/>
  <c r="B49" i="112"/>
  <c r="U8" i="99"/>
  <c r="U6" i="99"/>
  <c r="BB28" i="99"/>
  <c r="BB26" i="99"/>
  <c r="BB22" i="99"/>
  <c r="V22" i="99"/>
  <c r="BB21" i="99"/>
  <c r="V21" i="99"/>
  <c r="C17" i="99"/>
  <c r="G26" i="2" l="1"/>
  <c r="Y25" i="81"/>
  <c r="AG25" i="81" s="1"/>
  <c r="F28" i="2"/>
  <c r="X27" i="81"/>
  <c r="AF27" i="81" s="1"/>
  <c r="F21" i="2"/>
  <c r="X20" i="81"/>
  <c r="AF20" i="81" s="1"/>
  <c r="C28" i="2"/>
  <c r="P28" i="2" s="1"/>
  <c r="U27" i="81"/>
  <c r="AC27" i="81" s="1"/>
  <c r="C21" i="2"/>
  <c r="P21" i="2" s="1"/>
  <c r="U20" i="81"/>
  <c r="AC20" i="81" s="1"/>
  <c r="AR22" i="99"/>
  <c r="T22" i="99"/>
  <c r="G22" i="2"/>
  <c r="Y21" i="81"/>
  <c r="AG21" i="81" s="1"/>
  <c r="F26" i="2"/>
  <c r="X25" i="81"/>
  <c r="AF25" i="81" s="1"/>
  <c r="C26" i="2"/>
  <c r="P26" i="2" s="1"/>
  <c r="U25" i="81"/>
  <c r="AC25" i="81" s="1"/>
  <c r="AH25" i="81"/>
  <c r="AR21" i="99"/>
  <c r="T21" i="99"/>
  <c r="G28" i="2"/>
  <c r="Y27" i="81"/>
  <c r="AG27" i="81" s="1"/>
  <c r="G21" i="2"/>
  <c r="Y20" i="81"/>
  <c r="AG20" i="81" s="1"/>
  <c r="B22" i="2"/>
  <c r="O22" i="2" s="1"/>
  <c r="T21" i="81"/>
  <c r="AB21" i="81" s="1"/>
  <c r="D28" i="2"/>
  <c r="Q28" i="2" s="1"/>
  <c r="V27" i="81"/>
  <c r="AD27" i="81" s="1"/>
  <c r="F22" i="2"/>
  <c r="X21" i="81"/>
  <c r="AF21" i="81" s="1"/>
  <c r="F7" i="39"/>
  <c r="F8" i="39"/>
  <c r="F9" i="39"/>
  <c r="F10" i="39"/>
  <c r="F11" i="39"/>
  <c r="F12" i="39"/>
  <c r="F13" i="39"/>
  <c r="F14" i="39"/>
  <c r="F15" i="39"/>
  <c r="F16" i="39"/>
  <c r="F17" i="39"/>
  <c r="F18" i="39"/>
  <c r="F19" i="39"/>
  <c r="F20" i="39"/>
  <c r="F21" i="39"/>
  <c r="F22" i="39"/>
  <c r="F23" i="39"/>
  <c r="F24" i="39"/>
  <c r="F25" i="39"/>
  <c r="F26" i="39"/>
  <c r="F27" i="39"/>
  <c r="F28" i="39"/>
  <c r="F29" i="39"/>
  <c r="F30" i="39"/>
  <c r="F31" i="39"/>
  <c r="F32" i="39"/>
  <c r="F33" i="39"/>
  <c r="F34" i="39"/>
  <c r="F35" i="39"/>
  <c r="F36" i="39"/>
  <c r="D20" i="112"/>
  <c r="D12" i="112"/>
  <c r="D11" i="112"/>
  <c r="D10" i="112"/>
  <c r="D9" i="112"/>
  <c r="D8" i="112"/>
  <c r="D7" i="112"/>
  <c r="D6" i="112"/>
  <c r="D20" i="37"/>
  <c r="D12" i="37"/>
  <c r="D11" i="37"/>
  <c r="D10" i="37"/>
  <c r="D9" i="37"/>
  <c r="D8" i="37"/>
  <c r="D7" i="37"/>
  <c r="D6" i="37"/>
  <c r="AP21" i="99" l="1"/>
  <c r="BC21" i="99"/>
  <c r="AP22" i="99"/>
  <c r="BC22" i="99"/>
  <c r="AH27" i="81"/>
  <c r="J11" i="112"/>
  <c r="J8" i="112"/>
  <c r="C26" i="112"/>
  <c r="B26" i="112"/>
  <c r="D25" i="112"/>
  <c r="B25" i="112"/>
  <c r="J20" i="112"/>
  <c r="I20" i="112"/>
  <c r="C20" i="112"/>
  <c r="E20" i="112" s="1"/>
  <c r="I19" i="112"/>
  <c r="C19" i="112"/>
  <c r="I18" i="112"/>
  <c r="I21" i="112" s="1"/>
  <c r="I22" i="112" s="1"/>
  <c r="C18" i="112"/>
  <c r="J12" i="112"/>
  <c r="I12" i="112"/>
  <c r="C12" i="112"/>
  <c r="E12" i="112" s="1"/>
  <c r="I11" i="112"/>
  <c r="C11" i="112"/>
  <c r="J10" i="112"/>
  <c r="I10" i="112"/>
  <c r="C10" i="112"/>
  <c r="E10" i="112" s="1"/>
  <c r="J9" i="112"/>
  <c r="I9" i="112"/>
  <c r="D19" i="112"/>
  <c r="C9" i="112"/>
  <c r="I8" i="112"/>
  <c r="C8" i="112"/>
  <c r="E8" i="112" s="1"/>
  <c r="J7" i="112"/>
  <c r="I7" i="112"/>
  <c r="E7" i="112"/>
  <c r="C7" i="112"/>
  <c r="J6" i="112"/>
  <c r="I6" i="112"/>
  <c r="D18" i="112"/>
  <c r="C6" i="112"/>
  <c r="K6" i="112" l="1"/>
  <c r="K12" i="112"/>
  <c r="E20" i="81"/>
  <c r="B42" i="37"/>
  <c r="B32" i="38" s="1"/>
  <c r="B42" i="112"/>
  <c r="K7" i="112"/>
  <c r="K13" i="112" s="1"/>
  <c r="K14" i="112" s="1"/>
  <c r="K9" i="112"/>
  <c r="C21" i="112"/>
  <c r="C22" i="112" s="1"/>
  <c r="E21" i="81"/>
  <c r="B43" i="37"/>
  <c r="B33" i="38" s="1"/>
  <c r="B43" i="112"/>
  <c r="C13" i="112"/>
  <c r="C14" i="112" s="1"/>
  <c r="C23" i="112" s="1"/>
  <c r="I13" i="112"/>
  <c r="I14" i="112" s="1"/>
  <c r="I23" i="112" s="1"/>
  <c r="K10" i="112"/>
  <c r="K20" i="112"/>
  <c r="K8" i="112"/>
  <c r="K11" i="112"/>
  <c r="E11" i="112"/>
  <c r="E9" i="112"/>
  <c r="J18" i="112"/>
  <c r="K18" i="112" s="1"/>
  <c r="E18" i="112"/>
  <c r="J19" i="112"/>
  <c r="K19" i="112" s="1"/>
  <c r="E19" i="112"/>
  <c r="E6" i="112"/>
  <c r="D13" i="112"/>
  <c r="J13" i="112" s="1"/>
  <c r="D22" i="2" l="1"/>
  <c r="Q22" i="2" s="1"/>
  <c r="V21" i="81"/>
  <c r="AD21" i="81" s="1"/>
  <c r="AH21" i="81" s="1"/>
  <c r="D21" i="2"/>
  <c r="Q21" i="2" s="1"/>
  <c r="V20" i="81"/>
  <c r="AD20" i="81" s="1"/>
  <c r="AH20" i="81" s="1"/>
  <c r="E13" i="112"/>
  <c r="E14" i="112" s="1"/>
  <c r="K21" i="112"/>
  <c r="K22" i="112" s="1"/>
  <c r="E21" i="112"/>
  <c r="E22" i="112" s="1"/>
  <c r="E42" i="112" l="1"/>
  <c r="E47" i="112"/>
  <c r="E49" i="112"/>
  <c r="E43" i="112"/>
  <c r="F49" i="112"/>
  <c r="F43" i="112"/>
  <c r="F42" i="112"/>
  <c r="F47" i="112"/>
  <c r="E23" i="112"/>
  <c r="K23" i="112"/>
  <c r="D47" i="112" l="1"/>
  <c r="D49" i="112"/>
  <c r="D42" i="112"/>
  <c r="D43" i="112"/>
  <c r="D13" i="37"/>
  <c r="D19" i="37"/>
  <c r="D18" i="37"/>
  <c r="G37" i="39" l="1"/>
  <c r="C12" i="38" l="1"/>
  <c r="BA23" i="99" l="1"/>
  <c r="AZ23" i="99"/>
  <c r="AY23" i="99"/>
  <c r="AX23" i="99"/>
  <c r="AV23" i="99"/>
  <c r="AS6" i="99"/>
  <c r="AT23" i="99"/>
  <c r="AN23" i="99"/>
  <c r="AK23" i="99"/>
  <c r="AK11" i="99"/>
  <c r="AK7" i="99"/>
  <c r="AK8" i="99"/>
  <c r="AK9" i="99"/>
  <c r="AK10" i="99"/>
  <c r="AG23" i="99"/>
  <c r="AF23" i="99"/>
  <c r="B30" i="99"/>
  <c r="AH8" i="99" l="1"/>
  <c r="H7" i="39"/>
  <c r="G39" i="39"/>
  <c r="I36" i="39"/>
  <c r="I35" i="39"/>
  <c r="I33" i="39"/>
  <c r="I32" i="39"/>
  <c r="I31" i="39"/>
  <c r="I30" i="39"/>
  <c r="I28" i="39"/>
  <c r="I27" i="39"/>
  <c r="I25" i="39"/>
  <c r="I24" i="39"/>
  <c r="I22" i="39"/>
  <c r="I21" i="39"/>
  <c r="I20" i="39"/>
  <c r="I19" i="39"/>
  <c r="I15" i="39"/>
  <c r="I12" i="39"/>
  <c r="I11" i="39"/>
  <c r="I10" i="39"/>
  <c r="I8" i="39"/>
  <c r="I7" i="39"/>
  <c r="I16" i="39"/>
  <c r="I34" i="39"/>
  <c r="I26" i="39"/>
  <c r="I18" i="39"/>
  <c r="I14" i="39"/>
  <c r="I9" i="39"/>
  <c r="I13" i="39"/>
  <c r="I17" i="39"/>
  <c r="I23" i="39"/>
  <c r="I29" i="39"/>
  <c r="S30" i="99" l="1"/>
  <c r="R30" i="99"/>
  <c r="Q30" i="99"/>
  <c r="P30" i="99"/>
  <c r="N30" i="99"/>
  <c r="O30" i="99"/>
  <c r="M30" i="99"/>
  <c r="L30" i="99"/>
  <c r="K30" i="99"/>
  <c r="J30" i="99"/>
  <c r="BB7" i="99" l="1"/>
  <c r="BB8" i="99"/>
  <c r="BB9" i="99"/>
  <c r="BB10" i="99"/>
  <c r="BB11" i="99"/>
  <c r="BB12" i="99"/>
  <c r="BB13" i="99"/>
  <c r="BB14" i="99"/>
  <c r="BB15" i="99"/>
  <c r="BB16" i="99"/>
  <c r="BB17" i="99"/>
  <c r="BB18" i="99"/>
  <c r="BB19" i="99"/>
  <c r="BB23" i="99"/>
  <c r="BB24" i="99"/>
  <c r="BB25" i="99"/>
  <c r="BB27" i="99"/>
  <c r="BB29" i="99"/>
  <c r="T23" i="99"/>
  <c r="AP23" i="99" s="1"/>
  <c r="B44" i="112" s="1"/>
  <c r="E44" i="112" s="1"/>
  <c r="T25" i="99"/>
  <c r="AP25" i="99" s="1"/>
  <c r="T27" i="99"/>
  <c r="T29" i="99"/>
  <c r="AP29" i="99" s="1"/>
  <c r="V19" i="99"/>
  <c r="T19" i="99" s="1"/>
  <c r="U18" i="99"/>
  <c r="AP27" i="99" l="1"/>
  <c r="F30" i="99"/>
  <c r="E30" i="99"/>
  <c r="U11" i="99"/>
  <c r="V15" i="99" l="1"/>
  <c r="T15" i="99" s="1"/>
  <c r="V16" i="99"/>
  <c r="T16" i="99" s="1"/>
  <c r="BC16" i="99" s="1"/>
  <c r="V17" i="99"/>
  <c r="T17" i="99" s="1"/>
  <c r="BC17" i="99" s="1"/>
  <c r="V18" i="99"/>
  <c r="T18" i="99" s="1"/>
  <c r="BC18" i="99" s="1"/>
  <c r="V20" i="99"/>
  <c r="T20" i="99" s="1"/>
  <c r="BC20" i="99" s="1"/>
  <c r="W27" i="99"/>
  <c r="AS27" i="99" s="1"/>
  <c r="W29" i="99"/>
  <c r="W24" i="99"/>
  <c r="AS24" i="99" s="1"/>
  <c r="U25" i="99"/>
  <c r="U23" i="99"/>
  <c r="W19" i="99"/>
  <c r="U19" i="99" s="1"/>
  <c r="BC19" i="99" s="1"/>
  <c r="U29" i="99" l="1"/>
  <c r="AS29" i="99"/>
  <c r="BC25" i="99"/>
  <c r="AQ25" i="99"/>
  <c r="BC23" i="99"/>
  <c r="BD23" i="99" s="1"/>
  <c r="AQ23" i="99"/>
  <c r="BC29" i="99"/>
  <c r="AQ29" i="99"/>
  <c r="BB6" i="99"/>
  <c r="BB30" i="99" s="1"/>
  <c r="AR6" i="99"/>
  <c r="AI8" i="99"/>
  <c r="AJ23" i="99"/>
  <c r="AI23" i="99"/>
  <c r="AJ6" i="99"/>
  <c r="AJ7" i="99"/>
  <c r="AJ8" i="99"/>
  <c r="AJ9" i="99"/>
  <c r="AJ10" i="99"/>
  <c r="AJ11" i="99"/>
  <c r="AJ12" i="99"/>
  <c r="AJ13" i="99"/>
  <c r="AJ14" i="99"/>
  <c r="AJ15" i="99"/>
  <c r="AJ16" i="99"/>
  <c r="AJ17" i="99"/>
  <c r="AJ18" i="99"/>
  <c r="AJ19" i="99"/>
  <c r="AJ20" i="99"/>
  <c r="AJ24" i="99"/>
  <c r="AJ25" i="99"/>
  <c r="AJ27" i="99"/>
  <c r="AJ29" i="99"/>
  <c r="D22" i="81" l="1"/>
  <c r="U22" i="81" s="1"/>
  <c r="AC22" i="81" s="1"/>
  <c r="C44" i="112"/>
  <c r="AJ30" i="99"/>
  <c r="C44" i="37"/>
  <c r="F44" i="112" l="1"/>
  <c r="G44" i="112" s="1"/>
  <c r="D44" i="112"/>
  <c r="U13" i="99"/>
  <c r="U12" i="99"/>
  <c r="BC12" i="99" s="1"/>
  <c r="U10" i="99" l="1"/>
  <c r="BC10" i="99" s="1"/>
  <c r="W9" i="99" l="1"/>
  <c r="U9" i="99" s="1"/>
  <c r="W15" i="99" l="1"/>
  <c r="W16" i="99"/>
  <c r="V9" i="99" l="1"/>
  <c r="V11" i="99"/>
  <c r="V13" i="99"/>
  <c r="V8" i="99" l="1"/>
  <c r="T8" i="99" s="1"/>
  <c r="BC8" i="99" s="1"/>
  <c r="AF7" i="99"/>
  <c r="T13" i="99" l="1"/>
  <c r="BC13" i="99" s="1"/>
  <c r="T7" i="99"/>
  <c r="T6" i="99"/>
  <c r="U7" i="99"/>
  <c r="BC7" i="99" s="1"/>
  <c r="BC6" i="99" l="1"/>
  <c r="BD6" i="99" s="1"/>
  <c r="U24" i="99"/>
  <c r="AQ24" i="99" s="1"/>
  <c r="V24" i="99"/>
  <c r="T24" i="99" s="1"/>
  <c r="BC24" i="99" l="1"/>
  <c r="AP24" i="99"/>
  <c r="C22" i="81"/>
  <c r="T22" i="81" s="1"/>
  <c r="AB22" i="81" s="1"/>
  <c r="B44" i="37"/>
  <c r="AG7" i="99"/>
  <c r="AH7" i="99"/>
  <c r="AI7" i="99"/>
  <c r="AL7" i="99"/>
  <c r="AM7" i="99"/>
  <c r="AN7" i="99"/>
  <c r="AO7" i="99"/>
  <c r="AT7" i="99"/>
  <c r="AU7" i="99"/>
  <c r="AV7" i="99"/>
  <c r="AW7" i="99"/>
  <c r="AX7" i="99"/>
  <c r="AY7" i="99"/>
  <c r="AZ7" i="99"/>
  <c r="BA7" i="99"/>
  <c r="AF8" i="99"/>
  <c r="AG8" i="99"/>
  <c r="AL8" i="99"/>
  <c r="AM8" i="99"/>
  <c r="G7" i="81" s="1"/>
  <c r="X7" i="81" s="1"/>
  <c r="AF7" i="81" s="1"/>
  <c r="AN8" i="99"/>
  <c r="AO8" i="99"/>
  <c r="AT8" i="99"/>
  <c r="AU8" i="99"/>
  <c r="AV8" i="99"/>
  <c r="AW8" i="99"/>
  <c r="AX8" i="99"/>
  <c r="AY8" i="99"/>
  <c r="AZ8" i="99"/>
  <c r="BA8" i="99"/>
  <c r="AF9" i="99"/>
  <c r="AG9" i="99"/>
  <c r="AH9" i="99"/>
  <c r="AI9" i="99"/>
  <c r="AL9" i="99"/>
  <c r="AM9" i="99"/>
  <c r="AN9" i="99"/>
  <c r="AO9" i="99"/>
  <c r="AT9" i="99"/>
  <c r="AU9" i="99"/>
  <c r="AV9" i="99"/>
  <c r="AW9" i="99"/>
  <c r="AX9" i="99"/>
  <c r="AY9" i="99"/>
  <c r="AZ9" i="99"/>
  <c r="BA9" i="99"/>
  <c r="AF10" i="99"/>
  <c r="AG10" i="99"/>
  <c r="AH10" i="99"/>
  <c r="AI10" i="99"/>
  <c r="AL10" i="99"/>
  <c r="AM10" i="99"/>
  <c r="AN10" i="99"/>
  <c r="AO10" i="99"/>
  <c r="AT10" i="99"/>
  <c r="AU10" i="99"/>
  <c r="AV10" i="99"/>
  <c r="AW10" i="99"/>
  <c r="AX10" i="99"/>
  <c r="AY10" i="99"/>
  <c r="AZ10" i="99"/>
  <c r="BA10" i="99"/>
  <c r="AF11" i="99"/>
  <c r="AG11" i="99"/>
  <c r="AH11" i="99"/>
  <c r="AI11" i="99"/>
  <c r="AL11" i="99"/>
  <c r="AM11" i="99"/>
  <c r="G10" i="81" s="1"/>
  <c r="X10" i="81" s="1"/>
  <c r="AF10" i="81" s="1"/>
  <c r="AN11" i="99"/>
  <c r="AO11" i="99"/>
  <c r="AT11" i="99"/>
  <c r="AU11" i="99"/>
  <c r="AV11" i="99"/>
  <c r="AW11" i="99"/>
  <c r="AX11" i="99"/>
  <c r="AY11" i="99"/>
  <c r="AZ11" i="99"/>
  <c r="BA11" i="99"/>
  <c r="AF12" i="99"/>
  <c r="AG12" i="99"/>
  <c r="AH12" i="99"/>
  <c r="AI12" i="99"/>
  <c r="AK12" i="99"/>
  <c r="AL12" i="99"/>
  <c r="AM12" i="99"/>
  <c r="AN12" i="99"/>
  <c r="AO12" i="99"/>
  <c r="AT12" i="99"/>
  <c r="AU12" i="99"/>
  <c r="AV12" i="99"/>
  <c r="AW12" i="99"/>
  <c r="AX12" i="99"/>
  <c r="AY12" i="99"/>
  <c r="AZ12" i="99"/>
  <c r="BA12" i="99"/>
  <c r="AF13" i="99"/>
  <c r="AG13" i="99"/>
  <c r="AH13" i="99"/>
  <c r="AI13" i="99"/>
  <c r="AK13" i="99"/>
  <c r="AL13" i="99"/>
  <c r="AM13" i="99"/>
  <c r="AN13" i="99"/>
  <c r="AO13" i="99"/>
  <c r="AT13" i="99"/>
  <c r="AU13" i="99"/>
  <c r="AV13" i="99"/>
  <c r="AW13" i="99"/>
  <c r="AX13" i="99"/>
  <c r="AY13" i="99"/>
  <c r="AZ13" i="99"/>
  <c r="BA13" i="99"/>
  <c r="AF14" i="99"/>
  <c r="AG14" i="99"/>
  <c r="AH14" i="99"/>
  <c r="AI14" i="99"/>
  <c r="AK14" i="99"/>
  <c r="AL14" i="99"/>
  <c r="AM14" i="99"/>
  <c r="AN14" i="99"/>
  <c r="AO14" i="99"/>
  <c r="AT14" i="99"/>
  <c r="AU14" i="99"/>
  <c r="AV14" i="99"/>
  <c r="AW14" i="99"/>
  <c r="AX14" i="99"/>
  <c r="AY14" i="99"/>
  <c r="AZ14" i="99"/>
  <c r="BA14" i="99"/>
  <c r="AF15" i="99"/>
  <c r="AG15" i="99"/>
  <c r="AH15" i="99"/>
  <c r="AI15" i="99"/>
  <c r="AK15" i="99"/>
  <c r="AL15" i="99"/>
  <c r="AM15" i="99"/>
  <c r="AN15" i="99"/>
  <c r="AO15" i="99"/>
  <c r="AT15" i="99"/>
  <c r="AU15" i="99"/>
  <c r="AV15" i="99"/>
  <c r="AW15" i="99"/>
  <c r="AX15" i="99"/>
  <c r="AY15" i="99"/>
  <c r="AZ15" i="99"/>
  <c r="BA15" i="99"/>
  <c r="AF16" i="99"/>
  <c r="AG16" i="99"/>
  <c r="AH16" i="99"/>
  <c r="AI16" i="99"/>
  <c r="AK16" i="99"/>
  <c r="AL16" i="99"/>
  <c r="AM16" i="99"/>
  <c r="AN16" i="99"/>
  <c r="AO16" i="99"/>
  <c r="AT16" i="99"/>
  <c r="AU16" i="99"/>
  <c r="AV16" i="99"/>
  <c r="AW16" i="99"/>
  <c r="AX16" i="99"/>
  <c r="AY16" i="99"/>
  <c r="AZ16" i="99"/>
  <c r="BA16" i="99"/>
  <c r="AH17" i="99"/>
  <c r="AI17" i="99"/>
  <c r="AK17" i="99"/>
  <c r="AL17" i="99"/>
  <c r="AM17" i="99"/>
  <c r="AN17" i="99"/>
  <c r="AO17" i="99"/>
  <c r="AT17" i="99"/>
  <c r="AV17" i="99"/>
  <c r="AW17" i="99"/>
  <c r="AX17" i="99"/>
  <c r="AY17" i="99"/>
  <c r="AZ17" i="99"/>
  <c r="AF18" i="99"/>
  <c r="AG18" i="99"/>
  <c r="AH18" i="99"/>
  <c r="AI18" i="99"/>
  <c r="AK18" i="99"/>
  <c r="AL18" i="99"/>
  <c r="AM18" i="99"/>
  <c r="AN18" i="99"/>
  <c r="AO18" i="99"/>
  <c r="AT18" i="99"/>
  <c r="AU18" i="99"/>
  <c r="AV18" i="99"/>
  <c r="AW18" i="99"/>
  <c r="AX18" i="99"/>
  <c r="AY18" i="99"/>
  <c r="AZ18" i="99"/>
  <c r="BA18" i="99"/>
  <c r="AF19" i="99"/>
  <c r="AG19" i="99"/>
  <c r="AH19" i="99"/>
  <c r="AI19" i="99"/>
  <c r="AK19" i="99"/>
  <c r="AL19" i="99"/>
  <c r="AM19" i="99"/>
  <c r="AN19" i="99"/>
  <c r="AO19" i="99"/>
  <c r="AT19" i="99"/>
  <c r="AU19" i="99"/>
  <c r="AV19" i="99"/>
  <c r="AW19" i="99"/>
  <c r="AX19" i="99"/>
  <c r="AY19" i="99"/>
  <c r="AZ19" i="99"/>
  <c r="BA19" i="99"/>
  <c r="AH20" i="99"/>
  <c r="AI20" i="99"/>
  <c r="AK20" i="99"/>
  <c r="AM20" i="99"/>
  <c r="AN20" i="99"/>
  <c r="AO20" i="99"/>
  <c r="AT20" i="99"/>
  <c r="AU20" i="99"/>
  <c r="AV20" i="99"/>
  <c r="AW20" i="99"/>
  <c r="AX20" i="99"/>
  <c r="AY20" i="99"/>
  <c r="AZ20" i="99"/>
  <c r="BA20" i="99"/>
  <c r="AH24" i="99"/>
  <c r="AI24" i="99"/>
  <c r="AK24" i="99"/>
  <c r="AL24" i="99"/>
  <c r="AM24" i="99"/>
  <c r="AN24" i="99"/>
  <c r="AO24" i="99"/>
  <c r="AT24" i="99"/>
  <c r="AV24" i="99"/>
  <c r="AX24" i="99"/>
  <c r="AZ24" i="99"/>
  <c r="BA24" i="99"/>
  <c r="AH25" i="99"/>
  <c r="AI25" i="99"/>
  <c r="AK25" i="99"/>
  <c r="AL25" i="99"/>
  <c r="AM25" i="99"/>
  <c r="AN25" i="99"/>
  <c r="AO25" i="99"/>
  <c r="AT25" i="99"/>
  <c r="AV25" i="99"/>
  <c r="AX25" i="99"/>
  <c r="AY25" i="99"/>
  <c r="AZ25" i="99"/>
  <c r="BA25" i="99"/>
  <c r="AH27" i="99"/>
  <c r="AI27" i="99"/>
  <c r="AK27" i="99"/>
  <c r="AM27" i="99"/>
  <c r="AN27" i="99"/>
  <c r="AO27" i="99"/>
  <c r="AT27" i="99"/>
  <c r="AX27" i="99"/>
  <c r="AY27" i="99"/>
  <c r="AZ27" i="99"/>
  <c r="BA27" i="99"/>
  <c r="AF29" i="99"/>
  <c r="AG29" i="99"/>
  <c r="AH29" i="99"/>
  <c r="AI29" i="99"/>
  <c r="AK29" i="99"/>
  <c r="AL29" i="99"/>
  <c r="AM29" i="99"/>
  <c r="AN29" i="99"/>
  <c r="AO29" i="99"/>
  <c r="AT29" i="99"/>
  <c r="AV29" i="99"/>
  <c r="AX29" i="99"/>
  <c r="AY29" i="99"/>
  <c r="AZ29" i="99"/>
  <c r="BA29" i="99"/>
  <c r="AG6" i="99"/>
  <c r="AH6" i="99"/>
  <c r="AI6" i="99"/>
  <c r="AK6" i="99"/>
  <c r="AL6" i="99"/>
  <c r="AM6" i="99"/>
  <c r="AN6" i="99"/>
  <c r="AO6" i="99"/>
  <c r="AT6" i="99"/>
  <c r="AU6" i="99"/>
  <c r="AV6" i="99"/>
  <c r="AW6" i="99"/>
  <c r="AX6" i="99"/>
  <c r="AY6" i="99"/>
  <c r="AZ6" i="99"/>
  <c r="BA6" i="99"/>
  <c r="G6" i="81"/>
  <c r="X6" i="81" s="1"/>
  <c r="AF6" i="81" s="1"/>
  <c r="G11" i="81" l="1"/>
  <c r="X11" i="81" s="1"/>
  <c r="AF11" i="81" s="1"/>
  <c r="AK30" i="99"/>
  <c r="D13" i="81"/>
  <c r="U13" i="81" s="1"/>
  <c r="AC13" i="81" s="1"/>
  <c r="D10" i="81"/>
  <c r="U10" i="81" s="1"/>
  <c r="AC10" i="81" s="1"/>
  <c r="D9" i="81"/>
  <c r="U9" i="81" s="1"/>
  <c r="AC9" i="81" s="1"/>
  <c r="D8" i="81"/>
  <c r="U8" i="81" s="1"/>
  <c r="AC8" i="81" s="1"/>
  <c r="D7" i="81"/>
  <c r="U7" i="81" s="1"/>
  <c r="AC7" i="81" s="1"/>
  <c r="D6" i="81"/>
  <c r="U6" i="81" s="1"/>
  <c r="AC6" i="81" s="1"/>
  <c r="AH30" i="99"/>
  <c r="AT30" i="99"/>
  <c r="AI30" i="99"/>
  <c r="D18" i="81"/>
  <c r="U18" i="81" s="1"/>
  <c r="AC18" i="81" s="1"/>
  <c r="D12" i="81"/>
  <c r="U12" i="81" s="1"/>
  <c r="AC12" i="81" s="1"/>
  <c r="C11" i="81"/>
  <c r="T11" i="81" s="1"/>
  <c r="AB11" i="81" s="1"/>
  <c r="H10" i="81"/>
  <c r="Y10" i="81" s="1"/>
  <c r="AG10" i="81" s="1"/>
  <c r="H6" i="81"/>
  <c r="Y6" i="81" s="1"/>
  <c r="AG6" i="81" s="1"/>
  <c r="C6" i="81"/>
  <c r="T6" i="81" s="1"/>
  <c r="AB6" i="81" s="1"/>
  <c r="D17" i="81"/>
  <c r="U17" i="81" s="1"/>
  <c r="AC17" i="81" s="1"/>
  <c r="D15" i="81"/>
  <c r="U15" i="81" s="1"/>
  <c r="AC15" i="81" s="1"/>
  <c r="D14" i="81"/>
  <c r="U14" i="81" s="1"/>
  <c r="AC14" i="81" s="1"/>
  <c r="D11" i="81"/>
  <c r="U11" i="81" s="1"/>
  <c r="AC11" i="81" s="1"/>
  <c r="D5" i="81"/>
  <c r="U5" i="81" s="1"/>
  <c r="C5" i="81"/>
  <c r="D28" i="81"/>
  <c r="U28" i="81" s="1"/>
  <c r="AC28" i="81" s="1"/>
  <c r="H13" i="81"/>
  <c r="Y13" i="81" s="1"/>
  <c r="AG13" i="81" s="1"/>
  <c r="C28" i="81"/>
  <c r="T28" i="81" s="1"/>
  <c r="AB28" i="81" s="1"/>
  <c r="C18" i="81"/>
  <c r="T18" i="81" s="1"/>
  <c r="AB18" i="81" s="1"/>
  <c r="C14" i="81"/>
  <c r="T14" i="81" s="1"/>
  <c r="AB14" i="81" s="1"/>
  <c r="G13" i="81"/>
  <c r="X13" i="81" s="1"/>
  <c r="AF13" i="81" s="1"/>
  <c r="C13" i="81"/>
  <c r="T13" i="81" s="1"/>
  <c r="AB13" i="81" s="1"/>
  <c r="C9" i="81"/>
  <c r="T9" i="81" s="1"/>
  <c r="AB9" i="81" s="1"/>
  <c r="C7" i="81"/>
  <c r="T7" i="81" s="1"/>
  <c r="AB7" i="81" s="1"/>
  <c r="C17" i="81"/>
  <c r="T17" i="81" s="1"/>
  <c r="AB17" i="81" s="1"/>
  <c r="C15" i="81"/>
  <c r="T15" i="81" s="1"/>
  <c r="AB15" i="81" s="1"/>
  <c r="C12" i="81"/>
  <c r="T12" i="81" s="1"/>
  <c r="AB12" i="81" s="1"/>
  <c r="C10" i="81"/>
  <c r="T10" i="81" s="1"/>
  <c r="AB10" i="81" s="1"/>
  <c r="G8" i="81"/>
  <c r="X8" i="81" s="1"/>
  <c r="AF8" i="81" s="1"/>
  <c r="C8" i="81"/>
  <c r="T8" i="81" s="1"/>
  <c r="AB8" i="81" s="1"/>
  <c r="G9" i="81"/>
  <c r="X9" i="81" s="1"/>
  <c r="AF9" i="81" s="1"/>
  <c r="G12" i="81"/>
  <c r="X12" i="81" s="1"/>
  <c r="AF12" i="81" s="1"/>
  <c r="H11" i="81"/>
  <c r="Y11" i="81" s="1"/>
  <c r="AG11" i="81" s="1"/>
  <c r="H12" i="81"/>
  <c r="Y12" i="81" s="1"/>
  <c r="AG12" i="81" s="1"/>
  <c r="H9" i="81"/>
  <c r="Y9" i="81" s="1"/>
  <c r="AG9" i="81" s="1"/>
  <c r="H8" i="81"/>
  <c r="Y8" i="81" s="1"/>
  <c r="AG8" i="81" s="1"/>
  <c r="H7" i="81"/>
  <c r="Y7" i="81" s="1"/>
  <c r="AG7" i="81" s="1"/>
  <c r="AO30" i="99"/>
  <c r="AX30" i="99"/>
  <c r="AM30" i="99"/>
  <c r="AZ30" i="99"/>
  <c r="G14" i="81"/>
  <c r="X14" i="81" s="1"/>
  <c r="AF14" i="81" s="1"/>
  <c r="H14" i="81"/>
  <c r="Y14" i="81" s="1"/>
  <c r="AG14" i="81" s="1"/>
  <c r="G15" i="81"/>
  <c r="X15" i="81" s="1"/>
  <c r="AF15" i="81" s="1"/>
  <c r="H15" i="81"/>
  <c r="Y15" i="81" s="1"/>
  <c r="AG15" i="81" s="1"/>
  <c r="G16" i="81"/>
  <c r="X16" i="81" s="1"/>
  <c r="AF16" i="81" s="1"/>
  <c r="H16" i="81"/>
  <c r="Y16" i="81" s="1"/>
  <c r="AG16" i="81" s="1"/>
  <c r="G17" i="81"/>
  <c r="X17" i="81" s="1"/>
  <c r="AF17" i="81" s="1"/>
  <c r="H17" i="81"/>
  <c r="Y17" i="81" s="1"/>
  <c r="AG17" i="81" s="1"/>
  <c r="G18" i="81"/>
  <c r="X18" i="81" s="1"/>
  <c r="AF18" i="81" s="1"/>
  <c r="H18" i="81"/>
  <c r="Y18" i="81" s="1"/>
  <c r="AG18" i="81" s="1"/>
  <c r="G19" i="81"/>
  <c r="X19" i="81" s="1"/>
  <c r="AF19" i="81" s="1"/>
  <c r="G23" i="81"/>
  <c r="X23" i="81" s="1"/>
  <c r="AF23" i="81" s="1"/>
  <c r="H23" i="81"/>
  <c r="Y23" i="81" s="1"/>
  <c r="AG23" i="81" s="1"/>
  <c r="G24" i="81"/>
  <c r="X24" i="81" s="1"/>
  <c r="AF24" i="81" s="1"/>
  <c r="H24" i="81"/>
  <c r="Y24" i="81" s="1"/>
  <c r="AG24" i="81" s="1"/>
  <c r="G26" i="81"/>
  <c r="X26" i="81" s="1"/>
  <c r="AF26" i="81" s="1"/>
  <c r="G28" i="81"/>
  <c r="X28" i="81" s="1"/>
  <c r="AF28" i="81" s="1"/>
  <c r="H28" i="81"/>
  <c r="Y28" i="81" s="1"/>
  <c r="AG28" i="81" s="1"/>
  <c r="H5" i="81"/>
  <c r="Y5" i="81" s="1"/>
  <c r="G5" i="81"/>
  <c r="X5" i="81" s="1"/>
  <c r="C30" i="99"/>
  <c r="D30" i="99"/>
  <c r="G30" i="99"/>
  <c r="I30" i="99"/>
  <c r="AG5" i="81" l="1"/>
  <c r="T5" i="81"/>
  <c r="AC5" i="81"/>
  <c r="AF5" i="81"/>
  <c r="AR17" i="99"/>
  <c r="AB5" i="81" l="1"/>
  <c r="AP6" i="99"/>
  <c r="H30" i="99"/>
  <c r="AS17" i="99"/>
  <c r="V14" i="99"/>
  <c r="T14" i="99" s="1"/>
  <c r="W14" i="99"/>
  <c r="B27" i="112" l="1"/>
  <c r="B27" i="37"/>
  <c r="T11" i="99"/>
  <c r="BC11" i="99" s="1"/>
  <c r="BD11" i="99" s="1"/>
  <c r="AR11" i="99"/>
  <c r="U14" i="99"/>
  <c r="BC14" i="99" s="1"/>
  <c r="AS14" i="99"/>
  <c r="AS12" i="99"/>
  <c r="AQ12" i="99"/>
  <c r="AQ10" i="99"/>
  <c r="AS10" i="99"/>
  <c r="AQ8" i="99"/>
  <c r="AS8" i="99"/>
  <c r="T9" i="99"/>
  <c r="AR9" i="99"/>
  <c r="AR14" i="99"/>
  <c r="AR8" i="99"/>
  <c r="AR13" i="99"/>
  <c r="AR7" i="99"/>
  <c r="AR12" i="99"/>
  <c r="AR10" i="99"/>
  <c r="AQ13" i="99"/>
  <c r="AS13" i="99"/>
  <c r="AQ11" i="99"/>
  <c r="AS11" i="99"/>
  <c r="AQ9" i="99"/>
  <c r="AS9" i="99"/>
  <c r="AQ7" i="99"/>
  <c r="AS7" i="99"/>
  <c r="E5" i="81"/>
  <c r="V5" i="81" s="1"/>
  <c r="AD5" i="81" l="1"/>
  <c r="C32" i="37"/>
  <c r="C22" i="38" s="1"/>
  <c r="C32" i="112"/>
  <c r="F32" i="112" s="1"/>
  <c r="C34" i="37"/>
  <c r="C34" i="112"/>
  <c r="F34" i="112" s="1"/>
  <c r="BC9" i="99"/>
  <c r="T30" i="99"/>
  <c r="C29" i="37"/>
  <c r="C19" i="38" s="1"/>
  <c r="C29" i="112"/>
  <c r="F29" i="112" s="1"/>
  <c r="C31" i="37"/>
  <c r="C21" i="38" s="1"/>
  <c r="C31" i="112"/>
  <c r="F31" i="112" s="1"/>
  <c r="E27" i="112"/>
  <c r="AQ14" i="99"/>
  <c r="C33" i="112"/>
  <c r="C33" i="37"/>
  <c r="C23" i="38" s="1"/>
  <c r="C30" i="37"/>
  <c r="C20" i="38" s="1"/>
  <c r="C30" i="112"/>
  <c r="C28" i="37"/>
  <c r="C18" i="38" s="1"/>
  <c r="C28" i="112"/>
  <c r="F8" i="81"/>
  <c r="W8" i="81" s="1"/>
  <c r="AE8" i="81" s="1"/>
  <c r="F12" i="81"/>
  <c r="W12" i="81" s="1"/>
  <c r="AE12" i="81" s="1"/>
  <c r="C24" i="38"/>
  <c r="AP12" i="99"/>
  <c r="B33" i="112" s="1"/>
  <c r="E33" i="112" s="1"/>
  <c r="AP13" i="99"/>
  <c r="B34" i="112" s="1"/>
  <c r="AP14" i="99"/>
  <c r="B35" i="112" s="1"/>
  <c r="E35" i="112" s="1"/>
  <c r="AQ6" i="99"/>
  <c r="F9" i="81"/>
  <c r="W9" i="81" s="1"/>
  <c r="AE9" i="81" s="1"/>
  <c r="F13" i="81"/>
  <c r="W13" i="81" s="1"/>
  <c r="AE13" i="81" s="1"/>
  <c r="F11" i="81"/>
  <c r="W11" i="81" s="1"/>
  <c r="AE11" i="81" s="1"/>
  <c r="F6" i="81"/>
  <c r="W6" i="81" s="1"/>
  <c r="AE6" i="81" s="1"/>
  <c r="F10" i="81"/>
  <c r="W10" i="81" s="1"/>
  <c r="AE10" i="81" s="1"/>
  <c r="AP10" i="99"/>
  <c r="B31" i="112" s="1"/>
  <c r="AP7" i="99"/>
  <c r="AP8" i="99"/>
  <c r="B29" i="112" s="1"/>
  <c r="AP9" i="99"/>
  <c r="B30" i="112" s="1"/>
  <c r="E30" i="112" s="1"/>
  <c r="F7" i="81"/>
  <c r="W7" i="81" s="1"/>
  <c r="AE7" i="81" s="1"/>
  <c r="AP11" i="99"/>
  <c r="B32" i="112" s="1"/>
  <c r="E32" i="112" l="1"/>
  <c r="G32" i="112" s="1"/>
  <c r="D32" i="112"/>
  <c r="E31" i="112"/>
  <c r="G31" i="112" s="1"/>
  <c r="D31" i="112"/>
  <c r="E34" i="112"/>
  <c r="G34" i="112" s="1"/>
  <c r="D34" i="112"/>
  <c r="B28" i="37"/>
  <c r="B18" i="38" s="1"/>
  <c r="B28" i="112"/>
  <c r="E29" i="112"/>
  <c r="G29" i="112" s="1"/>
  <c r="D29" i="112"/>
  <c r="C27" i="37"/>
  <c r="C27" i="112"/>
  <c r="C35" i="37"/>
  <c r="C25" i="38" s="1"/>
  <c r="C35" i="112"/>
  <c r="F33" i="112"/>
  <c r="G33" i="112" s="1"/>
  <c r="D33" i="112"/>
  <c r="F30" i="112"/>
  <c r="G30" i="112" s="1"/>
  <c r="D30" i="112"/>
  <c r="F28" i="112"/>
  <c r="D28" i="112"/>
  <c r="E10" i="81"/>
  <c r="V10" i="81" s="1"/>
  <c r="AD10" i="81" s="1"/>
  <c r="AH10" i="81" s="1"/>
  <c r="B32" i="37"/>
  <c r="B22" i="38" s="1"/>
  <c r="E8" i="81"/>
  <c r="V8" i="81" s="1"/>
  <c r="AD8" i="81" s="1"/>
  <c r="AH8" i="81" s="1"/>
  <c r="B30" i="37"/>
  <c r="B20" i="38" s="1"/>
  <c r="E9" i="81"/>
  <c r="V9" i="81" s="1"/>
  <c r="AD9" i="81" s="1"/>
  <c r="AH9" i="81" s="1"/>
  <c r="B31" i="37"/>
  <c r="B21" i="38" s="1"/>
  <c r="E13" i="81"/>
  <c r="V13" i="81" s="1"/>
  <c r="AD13" i="81" s="1"/>
  <c r="AH13" i="81" s="1"/>
  <c r="B35" i="37"/>
  <c r="B25" i="38" s="1"/>
  <c r="E7" i="81"/>
  <c r="V7" i="81" s="1"/>
  <c r="AD7" i="81" s="1"/>
  <c r="AH7" i="81" s="1"/>
  <c r="B29" i="37"/>
  <c r="B19" i="38" s="1"/>
  <c r="E12" i="81"/>
  <c r="V12" i="81" s="1"/>
  <c r="AD12" i="81" s="1"/>
  <c r="AH12" i="81" s="1"/>
  <c r="B34" i="37"/>
  <c r="B24" i="38" s="1"/>
  <c r="E11" i="81"/>
  <c r="V11" i="81" s="1"/>
  <c r="AD11" i="81" s="1"/>
  <c r="AH11" i="81" s="1"/>
  <c r="B33" i="37"/>
  <c r="B23" i="38" s="1"/>
  <c r="E6" i="81"/>
  <c r="V6" i="81" s="1"/>
  <c r="F5" i="81"/>
  <c r="W5" i="81" s="1"/>
  <c r="AG17" i="99"/>
  <c r="AE5" i="81" l="1"/>
  <c r="AD6" i="81"/>
  <c r="D16" i="81"/>
  <c r="U16" i="81" s="1"/>
  <c r="F27" i="112"/>
  <c r="G27" i="112" s="1"/>
  <c r="D27" i="112"/>
  <c r="E28" i="112"/>
  <c r="F35" i="112"/>
  <c r="G35" i="112" s="1"/>
  <c r="D35" i="112"/>
  <c r="G28" i="112"/>
  <c r="AF17" i="99"/>
  <c r="L30" i="2"/>
  <c r="M30" i="2"/>
  <c r="AC16" i="81" l="1"/>
  <c r="AH5" i="81"/>
  <c r="AH6" i="81"/>
  <c r="C16" i="81"/>
  <c r="T16" i="81" s="1"/>
  <c r="H13" i="39"/>
  <c r="C21" i="39"/>
  <c r="AB16" i="81" l="1"/>
  <c r="C8" i="39"/>
  <c r="C9" i="39"/>
  <c r="C10" i="39"/>
  <c r="C11" i="39"/>
  <c r="C12" i="39"/>
  <c r="C14" i="39"/>
  <c r="C15" i="39"/>
  <c r="C16" i="39"/>
  <c r="C17" i="39"/>
  <c r="C18" i="39"/>
  <c r="C19" i="39"/>
  <c r="C20" i="39"/>
  <c r="C22" i="39"/>
  <c r="C23" i="39"/>
  <c r="C24" i="39"/>
  <c r="C25" i="39"/>
  <c r="C26" i="39"/>
  <c r="C27" i="39"/>
  <c r="C28" i="39"/>
  <c r="C29" i="39"/>
  <c r="C30" i="39"/>
  <c r="C31" i="39"/>
  <c r="C32" i="39"/>
  <c r="C33" i="39"/>
  <c r="C34" i="39"/>
  <c r="C35" i="39"/>
  <c r="C36" i="39"/>
  <c r="C7" i="39"/>
  <c r="AV27" i="99"/>
  <c r="AV30" i="99" s="1"/>
  <c r="AL27" i="99"/>
  <c r="H26" i="81" s="1"/>
  <c r="Y26" i="81" s="1"/>
  <c r="AG26" i="81" s="1"/>
  <c r="AG27" i="99"/>
  <c r="AG25" i="99"/>
  <c r="AG24" i="99"/>
  <c r="AY24" i="99"/>
  <c r="AY30" i="99" s="1"/>
  <c r="AN30" i="99"/>
  <c r="AL20" i="99"/>
  <c r="AG20" i="99"/>
  <c r="BA17" i="99"/>
  <c r="BA30" i="99" s="1"/>
  <c r="AL30" i="99" l="1"/>
  <c r="D19" i="81"/>
  <c r="U19" i="81" s="1"/>
  <c r="D24" i="81"/>
  <c r="U24" i="81" s="1"/>
  <c r="AC24" i="81" s="1"/>
  <c r="D26" i="81"/>
  <c r="U26" i="81" s="1"/>
  <c r="AC26" i="81" s="1"/>
  <c r="D23" i="81"/>
  <c r="U23" i="81" s="1"/>
  <c r="AC23" i="81" s="1"/>
  <c r="AG30" i="99"/>
  <c r="AW30" i="99"/>
  <c r="AF27" i="99"/>
  <c r="G22" i="81"/>
  <c r="X22" i="81" s="1"/>
  <c r="AU17" i="99"/>
  <c r="AU30" i="99" s="1"/>
  <c r="AQ17" i="99"/>
  <c r="H19" i="81"/>
  <c r="Y19" i="81" s="1"/>
  <c r="AF20" i="99"/>
  <c r="H22" i="81"/>
  <c r="AF24" i="99"/>
  <c r="AF25" i="99"/>
  <c r="D7" i="2"/>
  <c r="Q7" i="2" s="1"/>
  <c r="D9" i="2"/>
  <c r="Q9" i="2" s="1"/>
  <c r="D10" i="2"/>
  <c r="Q10" i="2" s="1"/>
  <c r="D11" i="2"/>
  <c r="Q11" i="2" s="1"/>
  <c r="D12" i="2"/>
  <c r="Q12" i="2" s="1"/>
  <c r="D13" i="2"/>
  <c r="Q13" i="2" s="1"/>
  <c r="D14" i="2"/>
  <c r="Q14" i="2" s="1"/>
  <c r="E7" i="2"/>
  <c r="R7" i="2" s="1"/>
  <c r="E8" i="2"/>
  <c r="R8" i="2" s="1"/>
  <c r="E9" i="2"/>
  <c r="R9" i="2" s="1"/>
  <c r="E10" i="2"/>
  <c r="R10" i="2" s="1"/>
  <c r="E11" i="2"/>
  <c r="R11" i="2" s="1"/>
  <c r="E12" i="2"/>
  <c r="R12" i="2" s="1"/>
  <c r="E13" i="2"/>
  <c r="R13" i="2" s="1"/>
  <c r="E14" i="2"/>
  <c r="R14" i="2" s="1"/>
  <c r="D8" i="2"/>
  <c r="Q8" i="2" s="1"/>
  <c r="AG19" i="81" l="1"/>
  <c r="AF22" i="81"/>
  <c r="AF29" i="81" s="1"/>
  <c r="X29" i="81"/>
  <c r="H29" i="81"/>
  <c r="Y22" i="81"/>
  <c r="AG22" i="81" s="1"/>
  <c r="AC19" i="81"/>
  <c r="AC29" i="81" s="1"/>
  <c r="U29" i="81"/>
  <c r="AF30" i="99"/>
  <c r="C38" i="37"/>
  <c r="C28" i="38" s="1"/>
  <c r="C38" i="112"/>
  <c r="F38" i="112" s="1"/>
  <c r="C26" i="81"/>
  <c r="T26" i="81" s="1"/>
  <c r="AB26" i="81" s="1"/>
  <c r="C19" i="81"/>
  <c r="T19" i="81" s="1"/>
  <c r="C24" i="81"/>
  <c r="T24" i="81" s="1"/>
  <c r="AB24" i="81" s="1"/>
  <c r="C23" i="81"/>
  <c r="T23" i="81" s="1"/>
  <c r="AB23" i="81" s="1"/>
  <c r="F16" i="81"/>
  <c r="W16" i="81" s="1"/>
  <c r="AE16" i="81" s="1"/>
  <c r="B34" i="38"/>
  <c r="Y29" i="81" l="1"/>
  <c r="AB19" i="81"/>
  <c r="T29" i="81"/>
  <c r="AG29" i="81"/>
  <c r="C7" i="2"/>
  <c r="P7" i="2" s="1"/>
  <c r="F7" i="2"/>
  <c r="G7" i="2"/>
  <c r="B8" i="2"/>
  <c r="O8" i="2" s="1"/>
  <c r="C8" i="2"/>
  <c r="P8" i="2" s="1"/>
  <c r="F8" i="2"/>
  <c r="G8" i="2"/>
  <c r="C9" i="2"/>
  <c r="P9" i="2" s="1"/>
  <c r="F9" i="2"/>
  <c r="G9" i="2"/>
  <c r="C10" i="2"/>
  <c r="P10" i="2" s="1"/>
  <c r="F10" i="2"/>
  <c r="G10" i="2"/>
  <c r="C11" i="2"/>
  <c r="P11" i="2" s="1"/>
  <c r="F11" i="2"/>
  <c r="G11" i="2"/>
  <c r="C12" i="2"/>
  <c r="P12" i="2" s="1"/>
  <c r="F12" i="2"/>
  <c r="G12" i="2"/>
  <c r="C13" i="2"/>
  <c r="P13" i="2" s="1"/>
  <c r="F13" i="2"/>
  <c r="G13" i="2"/>
  <c r="C14" i="2"/>
  <c r="P14" i="2" s="1"/>
  <c r="F14" i="2"/>
  <c r="G14" i="2"/>
  <c r="F15" i="2"/>
  <c r="G15" i="2"/>
  <c r="F16" i="2"/>
  <c r="G16" i="2"/>
  <c r="F17" i="2"/>
  <c r="G17" i="2"/>
  <c r="F18" i="2"/>
  <c r="F19" i="2"/>
  <c r="G19" i="2"/>
  <c r="F20" i="2"/>
  <c r="G20" i="2"/>
  <c r="G23" i="2"/>
  <c r="F24" i="2"/>
  <c r="G24" i="2"/>
  <c r="F25" i="2"/>
  <c r="G25" i="2"/>
  <c r="F27" i="2"/>
  <c r="G27" i="2"/>
  <c r="F29" i="2"/>
  <c r="G29" i="2"/>
  <c r="AB29" i="81" l="1"/>
  <c r="BD14" i="99"/>
  <c r="BD8" i="99"/>
  <c r="BD9" i="99"/>
  <c r="BD10" i="99"/>
  <c r="BD12" i="99"/>
  <c r="BD13" i="99"/>
  <c r="B7" i="2"/>
  <c r="O7" i="2" s="1"/>
  <c r="B9" i="2"/>
  <c r="O9" i="2" s="1"/>
  <c r="B10" i="2"/>
  <c r="O10" i="2" s="1"/>
  <c r="B11" i="2"/>
  <c r="O11" i="2" s="1"/>
  <c r="B12" i="2"/>
  <c r="O12" i="2" s="1"/>
  <c r="B13" i="2"/>
  <c r="O13" i="2" s="1"/>
  <c r="B14" i="2"/>
  <c r="O14" i="2" s="1"/>
  <c r="B15" i="2"/>
  <c r="O15" i="2" s="1"/>
  <c r="C15" i="2"/>
  <c r="P15" i="2" s="1"/>
  <c r="B16" i="2"/>
  <c r="O16" i="2" s="1"/>
  <c r="C16" i="2"/>
  <c r="P16" i="2" s="1"/>
  <c r="B17" i="2"/>
  <c r="O17" i="2" s="1"/>
  <c r="C17" i="2"/>
  <c r="P17" i="2" s="1"/>
  <c r="B18" i="2"/>
  <c r="O18" i="2" s="1"/>
  <c r="C18" i="2"/>
  <c r="P18" i="2" s="1"/>
  <c r="B19" i="2"/>
  <c r="O19" i="2" s="1"/>
  <c r="C19" i="2"/>
  <c r="P19" i="2" s="1"/>
  <c r="B20" i="2"/>
  <c r="O20" i="2" s="1"/>
  <c r="C20" i="2"/>
  <c r="P20" i="2" s="1"/>
  <c r="C23" i="2"/>
  <c r="P23" i="2" s="1"/>
  <c r="B24" i="2"/>
  <c r="O24" i="2" s="1"/>
  <c r="C24" i="2"/>
  <c r="P24" i="2" s="1"/>
  <c r="B25" i="2"/>
  <c r="O25" i="2" s="1"/>
  <c r="C25" i="2"/>
  <c r="P25" i="2" s="1"/>
  <c r="B27" i="2"/>
  <c r="O27" i="2" s="1"/>
  <c r="C27" i="2"/>
  <c r="P27" i="2" s="1"/>
  <c r="B29" i="2"/>
  <c r="O29" i="2" s="1"/>
  <c r="C29" i="2"/>
  <c r="P29" i="2" s="1"/>
  <c r="BD7" i="99" l="1"/>
  <c r="D6" i="2"/>
  <c r="Q6" i="2" s="1"/>
  <c r="B23" i="2"/>
  <c r="O23" i="2" s="1"/>
  <c r="G18" i="2"/>
  <c r="X30" i="99" l="1"/>
  <c r="Y30" i="99"/>
  <c r="Z30" i="99"/>
  <c r="AA30" i="99"/>
  <c r="AB30" i="99"/>
  <c r="AC30" i="99"/>
  <c r="AD30" i="99"/>
  <c r="AE30" i="99"/>
  <c r="AD31" i="111"/>
  <c r="X31" i="111"/>
  <c r="X32" i="111" s="1"/>
  <c r="O31" i="111"/>
  <c r="N31" i="111"/>
  <c r="M31" i="111"/>
  <c r="L31" i="111"/>
  <c r="K31" i="111"/>
  <c r="J31" i="111"/>
  <c r="I31" i="111"/>
  <c r="G31" i="111"/>
  <c r="F31" i="111"/>
  <c r="E31" i="111"/>
  <c r="D31" i="111"/>
  <c r="C31" i="111"/>
  <c r="B31" i="111"/>
  <c r="AY30" i="111"/>
  <c r="AY29" i="111"/>
  <c r="AE28" i="111"/>
  <c r="AY28" i="111" s="1"/>
  <c r="AY27" i="111"/>
  <c r="AY26" i="111"/>
  <c r="AX25" i="111"/>
  <c r="AQ25" i="111"/>
  <c r="AF25" i="111"/>
  <c r="AE25" i="111"/>
  <c r="AY24" i="111"/>
  <c r="AT23" i="111"/>
  <c r="AS23" i="111"/>
  <c r="AR23" i="111"/>
  <c r="AP23" i="111"/>
  <c r="AF23" i="111"/>
  <c r="AE23" i="111"/>
  <c r="AT22" i="111"/>
  <c r="AS22" i="111"/>
  <c r="AR22" i="111"/>
  <c r="AQ22" i="111"/>
  <c r="AP22" i="111"/>
  <c r="AO22" i="111"/>
  <c r="AN22" i="111"/>
  <c r="AJ22" i="111"/>
  <c r="AI22" i="111"/>
  <c r="AH22" i="111"/>
  <c r="AF22" i="111"/>
  <c r="AE22" i="111"/>
  <c r="AX21" i="111"/>
  <c r="AV21" i="111"/>
  <c r="AT21" i="111"/>
  <c r="AR21" i="111"/>
  <c r="AP21" i="111"/>
  <c r="AN21" i="111"/>
  <c r="AF21" i="111"/>
  <c r="AE21" i="111"/>
  <c r="AY21" i="111" s="1"/>
  <c r="AY20" i="111"/>
  <c r="AY19" i="111"/>
  <c r="AV18" i="111"/>
  <c r="AU18" i="111"/>
  <c r="AP18" i="111"/>
  <c r="AO18" i="111"/>
  <c r="AF18" i="111"/>
  <c r="AE18" i="111"/>
  <c r="AE17" i="111"/>
  <c r="AY17" i="111" s="1"/>
  <c r="AY16" i="111"/>
  <c r="AY15" i="111"/>
  <c r="W15" i="111"/>
  <c r="AC14" i="111"/>
  <c r="AB14" i="111"/>
  <c r="Z14" i="111"/>
  <c r="Y14" i="111"/>
  <c r="W14" i="111"/>
  <c r="V14" i="111"/>
  <c r="U14" i="111"/>
  <c r="AC13" i="111"/>
  <c r="AB13" i="111"/>
  <c r="Y13" i="111"/>
  <c r="W13" i="111"/>
  <c r="V13" i="111"/>
  <c r="U13" i="111"/>
  <c r="AC12" i="111"/>
  <c r="AB12" i="111"/>
  <c r="AA12" i="111"/>
  <c r="Y12" i="111"/>
  <c r="W12" i="111"/>
  <c r="V12" i="111"/>
  <c r="AC11" i="111"/>
  <c r="AB11" i="111"/>
  <c r="AA11" i="111"/>
  <c r="Z11" i="111"/>
  <c r="Y11" i="111"/>
  <c r="W11" i="111"/>
  <c r="V11" i="111"/>
  <c r="U11" i="111"/>
  <c r="AC10" i="111"/>
  <c r="AB10" i="111"/>
  <c r="AA10" i="111"/>
  <c r="AA31" i="111" s="1"/>
  <c r="AA32" i="111" s="1"/>
  <c r="Y10" i="111"/>
  <c r="W10" i="111"/>
  <c r="V10" i="111"/>
  <c r="U10" i="111"/>
  <c r="AC9" i="111"/>
  <c r="AB9" i="111"/>
  <c r="Y9" i="111"/>
  <c r="W9" i="111"/>
  <c r="U9" i="111"/>
  <c r="H9" i="111"/>
  <c r="H31" i="111" s="1"/>
  <c r="AC8" i="111"/>
  <c r="AB8" i="111"/>
  <c r="Y8" i="111"/>
  <c r="V8" i="111"/>
  <c r="U8" i="111"/>
  <c r="AC7" i="111"/>
  <c r="AB7" i="111"/>
  <c r="Y7" i="111"/>
  <c r="W7" i="111"/>
  <c r="V7" i="111"/>
  <c r="AC6" i="111"/>
  <c r="AB6" i="111"/>
  <c r="Y6" i="111"/>
  <c r="W6" i="111"/>
  <c r="W31" i="111" s="1"/>
  <c r="W32" i="111" s="1"/>
  <c r="V6" i="111"/>
  <c r="U6" i="111"/>
  <c r="Z31" i="111" l="1"/>
  <c r="Z32" i="111" s="1"/>
  <c r="AY18" i="111"/>
  <c r="AY22" i="111"/>
  <c r="AC31" i="111"/>
  <c r="AY25" i="111"/>
  <c r="Y31" i="111"/>
  <c r="Y32" i="111" s="1"/>
  <c r="U31" i="111"/>
  <c r="AB31" i="111"/>
  <c r="AB32" i="111" s="1"/>
  <c r="AY23" i="111"/>
  <c r="F23" i="2"/>
  <c r="AY31" i="111"/>
  <c r="V9" i="111"/>
  <c r="V31" i="111" s="1"/>
  <c r="K13" i="39" l="1"/>
  <c r="J37" i="39" l="1"/>
  <c r="F18" i="21" l="1"/>
  <c r="R4" i="109" l="1"/>
  <c r="P8" i="109"/>
  <c r="A7" i="85"/>
  <c r="J2" i="109"/>
  <c r="J15" i="109" s="1"/>
  <c r="J28" i="109" s="1"/>
  <c r="A15" i="95" l="1"/>
  <c r="A15" i="87"/>
  <c r="A7" i="94"/>
  <c r="A7" i="96" s="1"/>
  <c r="A15" i="97" s="1"/>
  <c r="P406" i="98" l="1"/>
  <c r="O247" i="98"/>
  <c r="O407" i="98" s="1"/>
  <c r="O255" i="98"/>
  <c r="O415" i="98" s="1"/>
  <c r="N255" i="98"/>
  <c r="N415" i="98" s="1"/>
  <c r="M255" i="98"/>
  <c r="M415" i="98" s="1"/>
  <c r="O254" i="98"/>
  <c r="O414" i="98" s="1"/>
  <c r="N254" i="98"/>
  <c r="N414" i="98" s="1"/>
  <c r="M254" i="98"/>
  <c r="M414" i="98" s="1"/>
  <c r="O253" i="98"/>
  <c r="O413" i="98" s="1"/>
  <c r="N253" i="98"/>
  <c r="N413" i="98" s="1"/>
  <c r="M253" i="98"/>
  <c r="M413" i="98" s="1"/>
  <c r="O252" i="98"/>
  <c r="O412" i="98" s="1"/>
  <c r="N252" i="98"/>
  <c r="N412" i="98" s="1"/>
  <c r="M252" i="98"/>
  <c r="M412" i="98" s="1"/>
  <c r="O251" i="98"/>
  <c r="O411" i="98" s="1"/>
  <c r="N251" i="98"/>
  <c r="N411" i="98" s="1"/>
  <c r="M251" i="98"/>
  <c r="O250" i="98"/>
  <c r="O410" i="98" s="1"/>
  <c r="N250" i="98"/>
  <c r="N410" i="98" s="1"/>
  <c r="M250" i="98"/>
  <c r="O249" i="98"/>
  <c r="N249" i="98"/>
  <c r="N409" i="98" s="1"/>
  <c r="M249" i="98"/>
  <c r="O248" i="98"/>
  <c r="O408" i="98" s="1"/>
  <c r="N248" i="98"/>
  <c r="N408" i="98" s="1"/>
  <c r="M248" i="98"/>
  <c r="N247" i="98"/>
  <c r="N407" i="98" s="1"/>
  <c r="M247" i="98"/>
  <c r="P246" i="98"/>
  <c r="B246" i="98"/>
  <c r="A246" i="98"/>
  <c r="A406" i="98" s="1"/>
  <c r="M408" i="98" l="1"/>
  <c r="M411" i="98"/>
  <c r="M407" i="98"/>
  <c r="M410" i="98"/>
  <c r="M409" i="98"/>
  <c r="O246" i="98"/>
  <c r="O409" i="98"/>
  <c r="O406" i="98" s="1"/>
  <c r="P108" i="98" l="1"/>
  <c r="P109" i="98"/>
  <c r="P110" i="98"/>
  <c r="P111" i="98"/>
  <c r="P112" i="98"/>
  <c r="P113" i="98"/>
  <c r="P114" i="98"/>
  <c r="P115" i="98"/>
  <c r="P107" i="98"/>
  <c r="P98" i="98"/>
  <c r="P99" i="98"/>
  <c r="P100" i="98"/>
  <c r="P101" i="98"/>
  <c r="P102" i="98"/>
  <c r="P103" i="98"/>
  <c r="P104" i="98"/>
  <c r="P105" i="98"/>
  <c r="P97" i="98"/>
  <c r="P257" i="98" s="1"/>
  <c r="P68" i="98"/>
  <c r="P69" i="98"/>
  <c r="P70" i="98"/>
  <c r="P71" i="98"/>
  <c r="P72" i="98"/>
  <c r="P73" i="98"/>
  <c r="P74" i="98"/>
  <c r="P75" i="98"/>
  <c r="P67" i="98"/>
  <c r="P58" i="98"/>
  <c r="P59" i="98"/>
  <c r="P60" i="98"/>
  <c r="P61" i="98"/>
  <c r="P62" i="98"/>
  <c r="P63" i="98"/>
  <c r="P64" i="98"/>
  <c r="P65" i="98"/>
  <c r="P57" i="98"/>
  <c r="P86" i="98" l="1"/>
  <c r="O86" i="98"/>
  <c r="O6" i="98"/>
  <c r="J23" i="21" l="1"/>
  <c r="G5" i="18" l="1"/>
  <c r="I6" i="14"/>
  <c r="H6" i="13"/>
  <c r="I6" i="13"/>
  <c r="J6" i="13"/>
  <c r="P11" i="86"/>
  <c r="Q11" i="86"/>
  <c r="P3" i="109" l="1"/>
  <c r="H20" i="21"/>
  <c r="I20" i="21" s="1"/>
  <c r="F23" i="17"/>
  <c r="H18" i="21" l="1"/>
  <c r="I18" i="21" s="1"/>
  <c r="F20" i="110" l="1"/>
  <c r="G17" i="110" l="1"/>
  <c r="G17" i="17"/>
  <c r="F17" i="17"/>
  <c r="F16" i="17"/>
  <c r="F25" i="110" l="1"/>
  <c r="F26" i="17"/>
  <c r="F25" i="17"/>
  <c r="F24" i="17"/>
  <c r="I16" i="14"/>
  <c r="C9" i="13"/>
  <c r="I9" i="13" l="1"/>
  <c r="H9" i="13"/>
  <c r="J9" i="13"/>
  <c r="E5" i="20"/>
  <c r="G6" i="51" l="1"/>
  <c r="G7" i="51"/>
  <c r="G8" i="51"/>
  <c r="G11" i="51" l="1"/>
  <c r="G12" i="51"/>
  <c r="F15" i="17"/>
  <c r="F14" i="17"/>
  <c r="F13" i="17"/>
  <c r="F12" i="17"/>
  <c r="F11" i="17"/>
  <c r="F6" i="17"/>
  <c r="F5" i="17"/>
  <c r="F4" i="17"/>
  <c r="F3" i="17"/>
  <c r="C27" i="110"/>
  <c r="G27" i="110" s="1"/>
  <c r="H27" i="110" s="1"/>
  <c r="W13" i="102" s="1"/>
  <c r="G26" i="110"/>
  <c r="G25" i="110"/>
  <c r="G24" i="110"/>
  <c r="C23" i="110"/>
  <c r="C28" i="110" s="1"/>
  <c r="G22" i="110"/>
  <c r="G21" i="110"/>
  <c r="G20" i="110"/>
  <c r="G19" i="110"/>
  <c r="G18" i="110"/>
  <c r="G16" i="110"/>
  <c r="H16" i="110" s="1"/>
  <c r="W8" i="102" s="1"/>
  <c r="G15" i="110"/>
  <c r="G14" i="110"/>
  <c r="G13" i="110"/>
  <c r="G12" i="110"/>
  <c r="G11" i="110"/>
  <c r="G10" i="110"/>
  <c r="G9" i="110"/>
  <c r="G8" i="110"/>
  <c r="G7" i="110"/>
  <c r="G6" i="110"/>
  <c r="G5" i="110"/>
  <c r="G4" i="110"/>
  <c r="G3" i="110"/>
  <c r="H18" i="110" l="1"/>
  <c r="W9" i="102" s="1"/>
  <c r="H21" i="110"/>
  <c r="W10" i="102" s="1"/>
  <c r="H24" i="110"/>
  <c r="W12" i="102" s="1"/>
  <c r="H11" i="110"/>
  <c r="W7" i="102" s="1"/>
  <c r="H7" i="110"/>
  <c r="W6" i="102" s="1"/>
  <c r="H3" i="110"/>
  <c r="W5" i="102" s="1"/>
  <c r="F28" i="110"/>
  <c r="G23" i="110"/>
  <c r="H23" i="110" s="1"/>
  <c r="W11" i="102" s="1"/>
  <c r="W14" i="102" l="1"/>
  <c r="G28" i="110"/>
  <c r="H28" i="110"/>
  <c r="W16" i="102" s="1"/>
  <c r="W17" i="102" s="1"/>
  <c r="J15" i="14" l="1"/>
  <c r="H15" i="14"/>
  <c r="J17" i="14" l="1"/>
  <c r="H17" i="14"/>
  <c r="G15" i="13" l="1"/>
  <c r="F15" i="13"/>
  <c r="E15" i="13"/>
  <c r="D15" i="13"/>
  <c r="C10" i="13" l="1"/>
  <c r="D14" i="14"/>
  <c r="I14" i="14" s="1"/>
  <c r="F20" i="17"/>
  <c r="F19" i="17"/>
  <c r="F18" i="17"/>
  <c r="H10" i="13" l="1"/>
  <c r="J10" i="13"/>
  <c r="I10" i="13"/>
  <c r="E14" i="55" l="1"/>
  <c r="F22" i="23" l="1"/>
  <c r="F19" i="23"/>
  <c r="G19" i="23" s="1"/>
  <c r="B13" i="22"/>
  <c r="D10" i="14" l="1"/>
  <c r="D5" i="14" l="1"/>
  <c r="F4" i="23" l="1"/>
  <c r="F5" i="23"/>
  <c r="F6" i="23"/>
  <c r="F7" i="23"/>
  <c r="F8" i="23"/>
  <c r="F9" i="23"/>
  <c r="F10" i="23"/>
  <c r="F11" i="23"/>
  <c r="F12" i="23"/>
  <c r="F13" i="23"/>
  <c r="F14" i="23"/>
  <c r="F15" i="23"/>
  <c r="F7" i="33"/>
  <c r="H4" i="100"/>
  <c r="G4" i="23" l="1"/>
  <c r="G17" i="18" l="1"/>
  <c r="C8" i="13" l="1"/>
  <c r="C7" i="13"/>
  <c r="C14" i="13"/>
  <c r="C12" i="13"/>
  <c r="C13" i="13"/>
  <c r="C11" i="13"/>
  <c r="AL15" i="55"/>
  <c r="I15" i="55"/>
  <c r="H14" i="13" l="1"/>
  <c r="J14" i="13"/>
  <c r="I14" i="13"/>
  <c r="I7" i="13"/>
  <c r="J7" i="13"/>
  <c r="H7" i="13"/>
  <c r="J12" i="13"/>
  <c r="H12" i="13"/>
  <c r="I12" i="13"/>
  <c r="I11" i="13"/>
  <c r="J11" i="13"/>
  <c r="H11" i="13"/>
  <c r="I13" i="13"/>
  <c r="H13" i="13"/>
  <c r="J13" i="13"/>
  <c r="J8" i="13"/>
  <c r="H8" i="13"/>
  <c r="I8" i="13"/>
  <c r="AL8" i="55"/>
  <c r="AL9" i="55"/>
  <c r="AL10" i="55"/>
  <c r="AL11" i="55"/>
  <c r="AL12" i="55"/>
  <c r="AL13" i="55"/>
  <c r="AL14" i="55"/>
  <c r="AL7" i="55"/>
  <c r="AH8" i="55"/>
  <c r="AH9" i="55"/>
  <c r="AH10" i="55"/>
  <c r="AH11" i="55"/>
  <c r="AH12" i="55"/>
  <c r="AH13" i="55"/>
  <c r="AH14" i="55"/>
  <c r="AH7" i="55"/>
  <c r="AD8" i="55"/>
  <c r="AD9" i="55"/>
  <c r="AD11" i="55"/>
  <c r="AD12" i="55"/>
  <c r="AD13" i="55"/>
  <c r="AD14" i="55"/>
  <c r="AD15" i="55"/>
  <c r="AD7" i="55"/>
  <c r="Z8" i="55"/>
  <c r="Z9" i="55"/>
  <c r="Z11" i="55"/>
  <c r="Z12" i="55"/>
  <c r="Z13" i="55"/>
  <c r="Z14" i="55"/>
  <c r="Z15" i="55"/>
  <c r="Z7" i="55"/>
  <c r="I8" i="55"/>
  <c r="I9" i="55"/>
  <c r="I10" i="55"/>
  <c r="I11" i="55"/>
  <c r="I12" i="55"/>
  <c r="I13" i="55"/>
  <c r="I14" i="55"/>
  <c r="I7" i="55"/>
  <c r="E15" i="55"/>
  <c r="E13" i="55"/>
  <c r="E12" i="55"/>
  <c r="E11" i="55"/>
  <c r="E10" i="55"/>
  <c r="E9" i="55"/>
  <c r="E8" i="55"/>
  <c r="E7" i="55"/>
  <c r="I15" i="13" l="1"/>
  <c r="H15" i="13"/>
  <c r="J15" i="13"/>
  <c r="G3" i="53" l="1"/>
  <c r="G15" i="6"/>
  <c r="G15" i="8"/>
  <c r="G6" i="3"/>
  <c r="AA16" i="55"/>
  <c r="H8" i="21" l="1"/>
  <c r="H7" i="21"/>
  <c r="H6" i="21"/>
  <c r="H5" i="21"/>
  <c r="H4" i="21"/>
  <c r="I4" i="21" s="1"/>
  <c r="C18" i="21" l="1"/>
  <c r="C16" i="21"/>
  <c r="C15" i="21"/>
  <c r="C14" i="21"/>
  <c r="C13" i="21"/>
  <c r="C12" i="21"/>
  <c r="C11" i="21"/>
  <c r="C10" i="21"/>
  <c r="C9" i="21"/>
  <c r="C7" i="21"/>
  <c r="C8" i="21"/>
  <c r="C6" i="21"/>
  <c r="C5" i="21"/>
  <c r="C4" i="21"/>
  <c r="M28" i="98" l="1"/>
  <c r="M29" i="98"/>
  <c r="M30" i="98"/>
  <c r="M31" i="98"/>
  <c r="M32" i="98"/>
  <c r="M33" i="98"/>
  <c r="M34" i="98"/>
  <c r="M35" i="98"/>
  <c r="M27" i="98"/>
  <c r="C18" i="36"/>
  <c r="C19" i="36"/>
  <c r="C20" i="36"/>
  <c r="C21" i="36"/>
  <c r="C22" i="36"/>
  <c r="C23" i="36"/>
  <c r="C24" i="36"/>
  <c r="C25" i="36"/>
  <c r="C17" i="36"/>
  <c r="B18" i="36"/>
  <c r="B19" i="36"/>
  <c r="B20" i="36"/>
  <c r="B21" i="36"/>
  <c r="B22" i="36"/>
  <c r="B23" i="36"/>
  <c r="B24" i="36"/>
  <c r="B25" i="36"/>
  <c r="B17" i="36"/>
  <c r="N235" i="98" l="1"/>
  <c r="N395" i="98" s="1"/>
  <c r="M235" i="98"/>
  <c r="M395" i="98" s="1"/>
  <c r="N234" i="98"/>
  <c r="N394" i="98" s="1"/>
  <c r="M234" i="98"/>
  <c r="M394" i="98" s="1"/>
  <c r="N233" i="98"/>
  <c r="N393" i="98" s="1"/>
  <c r="M233" i="98"/>
  <c r="M393" i="98" s="1"/>
  <c r="N232" i="98"/>
  <c r="N392" i="98" s="1"/>
  <c r="M232" i="98"/>
  <c r="M392" i="98" s="1"/>
  <c r="N231" i="98"/>
  <c r="N391" i="98" s="1"/>
  <c r="M231" i="98"/>
  <c r="M391" i="98" s="1"/>
  <c r="N230" i="98"/>
  <c r="N390" i="98" s="1"/>
  <c r="M230" i="98"/>
  <c r="M390" i="98" s="1"/>
  <c r="N229" i="98"/>
  <c r="N389" i="98" s="1"/>
  <c r="M229" i="98"/>
  <c r="M389" i="98" s="1"/>
  <c r="N228" i="98"/>
  <c r="N388" i="98" s="1"/>
  <c r="M228" i="98"/>
  <c r="M388" i="98" s="1"/>
  <c r="N227" i="98"/>
  <c r="N387" i="98" s="1"/>
  <c r="M227" i="98"/>
  <c r="M387" i="98" s="1"/>
  <c r="O188" i="98"/>
  <c r="O348" i="98" s="1"/>
  <c r="O190" i="98"/>
  <c r="O350" i="98" s="1"/>
  <c r="O191" i="98"/>
  <c r="O351" i="98" s="1"/>
  <c r="O192" i="98"/>
  <c r="O352" i="98" s="1"/>
  <c r="O193" i="98"/>
  <c r="O353" i="98" s="1"/>
  <c r="O194" i="98"/>
  <c r="O354" i="98" s="1"/>
  <c r="O195" i="98"/>
  <c r="O355" i="98" s="1"/>
  <c r="M188" i="98"/>
  <c r="M348" i="98" s="1"/>
  <c r="M189" i="98"/>
  <c r="M349" i="98" s="1"/>
  <c r="M190" i="98"/>
  <c r="M350" i="98" s="1"/>
  <c r="M191" i="98"/>
  <c r="M351" i="98" s="1"/>
  <c r="M192" i="98"/>
  <c r="M352" i="98" s="1"/>
  <c r="M193" i="98"/>
  <c r="M353" i="98" s="1"/>
  <c r="M194" i="98"/>
  <c r="M354" i="98" s="1"/>
  <c r="M195" i="98"/>
  <c r="M355" i="98" s="1"/>
  <c r="B13" i="88"/>
  <c r="B12" i="88"/>
  <c r="B11" i="88"/>
  <c r="B10" i="88"/>
  <c r="B9" i="88"/>
  <c r="B8" i="88"/>
  <c r="B7" i="88"/>
  <c r="B6" i="88"/>
  <c r="B5" i="88"/>
  <c r="C5" i="88"/>
  <c r="A6" i="85"/>
  <c r="A14" i="95" s="1"/>
  <c r="A66" i="98"/>
  <c r="A4" i="85"/>
  <c r="A5" i="85"/>
  <c r="A8" i="85"/>
  <c r="A9" i="85"/>
  <c r="A10" i="85"/>
  <c r="A11" i="85"/>
  <c r="A12" i="85"/>
  <c r="P232" i="98"/>
  <c r="P392" i="98" s="1"/>
  <c r="P233" i="98"/>
  <c r="P393" i="98" s="1"/>
  <c r="P228" i="98"/>
  <c r="P388" i="98" s="1"/>
  <c r="P227" i="98"/>
  <c r="P387" i="98" s="1"/>
  <c r="A226" i="98" l="1"/>
  <c r="A386" i="98" s="1"/>
  <c r="H2" i="109"/>
  <c r="H15" i="109" s="1"/>
  <c r="H28" i="109" s="1"/>
  <c r="A14" i="87"/>
  <c r="A6" i="94"/>
  <c r="A6" i="96" s="1"/>
  <c r="A14" i="97" s="1"/>
  <c r="P234" i="98"/>
  <c r="P394" i="98" s="1"/>
  <c r="P231" i="98"/>
  <c r="P391" i="98" s="1"/>
  <c r="P235" i="98"/>
  <c r="P395" i="98" s="1"/>
  <c r="P229" i="98"/>
  <c r="P389" i="98" s="1"/>
  <c r="O189" i="98"/>
  <c r="O349" i="98" s="1"/>
  <c r="O26" i="98"/>
  <c r="O233" i="98"/>
  <c r="O393" i="98" s="1"/>
  <c r="O234" i="98"/>
  <c r="O394" i="98" s="1"/>
  <c r="O228" i="98"/>
  <c r="O388" i="98" s="1"/>
  <c r="O232" i="98"/>
  <c r="O392" i="98" s="1"/>
  <c r="O227" i="98"/>
  <c r="C17" i="38" l="1"/>
  <c r="B17" i="38"/>
  <c r="O235" i="98"/>
  <c r="O395" i="98" s="1"/>
  <c r="O231" i="98"/>
  <c r="O391" i="98" s="1"/>
  <c r="O229" i="98"/>
  <c r="O389" i="98" s="1"/>
  <c r="O387" i="98"/>
  <c r="O230" i="98" l="1"/>
  <c r="O66" i="98"/>
  <c r="O390" i="98" l="1"/>
  <c r="O386" i="98" s="1"/>
  <c r="O226" i="98"/>
  <c r="P66" i="98"/>
  <c r="P230" i="98"/>
  <c r="P390" i="98" s="1"/>
  <c r="P386" i="98" s="1"/>
  <c r="N218" i="98" l="1"/>
  <c r="N378" i="98" s="1"/>
  <c r="N219" i="98"/>
  <c r="N379" i="98" s="1"/>
  <c r="N220" i="98"/>
  <c r="N380" i="98" s="1"/>
  <c r="N221" i="98"/>
  <c r="N381" i="98" s="1"/>
  <c r="N222" i="98"/>
  <c r="N382" i="98" s="1"/>
  <c r="N223" i="98"/>
  <c r="N383" i="98" s="1"/>
  <c r="N224" i="98"/>
  <c r="N384" i="98" s="1"/>
  <c r="N225" i="98"/>
  <c r="N385" i="98" s="1"/>
  <c r="M218" i="98"/>
  <c r="M378" i="98" s="1"/>
  <c r="M219" i="98"/>
  <c r="M379" i="98" s="1"/>
  <c r="M220" i="98"/>
  <c r="M380" i="98" s="1"/>
  <c r="M221" i="98"/>
  <c r="M381" i="98" s="1"/>
  <c r="M222" i="98"/>
  <c r="M382" i="98" s="1"/>
  <c r="M223" i="98"/>
  <c r="M383" i="98" s="1"/>
  <c r="M224" i="98"/>
  <c r="M384" i="98" s="1"/>
  <c r="M225" i="98"/>
  <c r="M385" i="98" s="1"/>
  <c r="Q7" i="88"/>
  <c r="C8" i="104" s="1"/>
  <c r="O138" i="98"/>
  <c r="O139" i="98"/>
  <c r="O159" i="98" s="1"/>
  <c r="O198" i="98"/>
  <c r="O358" i="98" s="1"/>
  <c r="O199" i="98"/>
  <c r="O359" i="98" s="1"/>
  <c r="O200" i="98"/>
  <c r="O360" i="98" s="1"/>
  <c r="O201" i="98"/>
  <c r="O361" i="98" s="1"/>
  <c r="O202" i="98"/>
  <c r="O362" i="98" s="1"/>
  <c r="O203" i="98"/>
  <c r="O363" i="98" s="1"/>
  <c r="O204" i="98"/>
  <c r="O364" i="98" s="1"/>
  <c r="O205" i="98"/>
  <c r="O365" i="98" s="1"/>
  <c r="M187" i="98"/>
  <c r="M20" i="98"/>
  <c r="M180" i="98" s="1"/>
  <c r="M340" i="98" s="1"/>
  <c r="J26" i="98"/>
  <c r="J27" i="98" s="1"/>
  <c r="J28" i="98" s="1"/>
  <c r="J29" i="98" s="1"/>
  <c r="J30" i="98" s="1"/>
  <c r="J31" i="98" s="1"/>
  <c r="J32" i="98" s="1"/>
  <c r="J33" i="98" s="1"/>
  <c r="J34" i="98" s="1"/>
  <c r="J35" i="98" s="1"/>
  <c r="K26" i="98"/>
  <c r="K27" i="98" s="1"/>
  <c r="K28" i="98" s="1"/>
  <c r="K29" i="98" s="1"/>
  <c r="K30" i="98" s="1"/>
  <c r="K31" i="98" s="1"/>
  <c r="K32" i="98" s="1"/>
  <c r="K33" i="98" s="1"/>
  <c r="K34" i="98" s="1"/>
  <c r="K35" i="98" s="1"/>
  <c r="A26" i="98"/>
  <c r="O178" i="98"/>
  <c r="O338" i="98" s="1"/>
  <c r="O179" i="98"/>
  <c r="O339" i="98" s="1"/>
  <c r="O180" i="98"/>
  <c r="O340" i="98" s="1"/>
  <c r="O181" i="98"/>
  <c r="O341" i="98" s="1"/>
  <c r="O182" i="98"/>
  <c r="O342" i="98" s="1"/>
  <c r="O183" i="98"/>
  <c r="O343" i="98" s="1"/>
  <c r="O184" i="98"/>
  <c r="O344" i="98" s="1"/>
  <c r="O185" i="98"/>
  <c r="O345" i="98" s="1"/>
  <c r="D6" i="88"/>
  <c r="D7" i="88"/>
  <c r="D8" i="88"/>
  <c r="D9" i="88"/>
  <c r="D10" i="88"/>
  <c r="D11" i="88"/>
  <c r="D12" i="88"/>
  <c r="D13" i="88"/>
  <c r="C6" i="88"/>
  <c r="C7" i="88"/>
  <c r="C8" i="88"/>
  <c r="C9" i="88"/>
  <c r="C10" i="88"/>
  <c r="C11" i="88"/>
  <c r="C12" i="88"/>
  <c r="C13" i="88"/>
  <c r="A6" i="86"/>
  <c r="A9" i="87" s="1"/>
  <c r="D6" i="104"/>
  <c r="L4" i="21"/>
  <c r="G21" i="53"/>
  <c r="F16" i="51"/>
  <c r="F27" i="17"/>
  <c r="G24" i="18"/>
  <c r="F22" i="17"/>
  <c r="F21" i="17"/>
  <c r="G22" i="17"/>
  <c r="A186" i="98" l="1"/>
  <c r="A346" i="98" s="1"/>
  <c r="E2" i="109"/>
  <c r="E15" i="109" s="1"/>
  <c r="E28" i="109" s="1"/>
  <c r="C8" i="105"/>
  <c r="C8" i="107" s="1"/>
  <c r="D6" i="105"/>
  <c r="G16" i="51"/>
  <c r="H16" i="51" s="1"/>
  <c r="R10" i="102" s="1"/>
  <c r="M4" i="21"/>
  <c r="N4" i="21" s="1"/>
  <c r="O175" i="98"/>
  <c r="O174" i="98"/>
  <c r="O173" i="98"/>
  <c r="O172" i="98"/>
  <c r="O171" i="98"/>
  <c r="O170" i="98"/>
  <c r="O169" i="98"/>
  <c r="O168" i="98"/>
  <c r="M347" i="98"/>
  <c r="A6" i="93"/>
  <c r="A6" i="90" s="1"/>
  <c r="A9" i="97" s="1"/>
  <c r="A9" i="95"/>
  <c r="O187" i="98"/>
  <c r="D6" i="107" l="1"/>
  <c r="O347" i="98"/>
  <c r="O346" i="98" s="1"/>
  <c r="O186" i="98"/>
  <c r="M18" i="14"/>
  <c r="L18" i="14"/>
  <c r="K36" i="39" l="1"/>
  <c r="K35" i="39"/>
  <c r="K34" i="39"/>
  <c r="K33" i="39"/>
  <c r="K32" i="39"/>
  <c r="K31" i="39"/>
  <c r="K30" i="39"/>
  <c r="K29" i="39"/>
  <c r="K28" i="39"/>
  <c r="K27" i="39"/>
  <c r="K26" i="39"/>
  <c r="K25" i="39"/>
  <c r="K24" i="39"/>
  <c r="K23" i="39"/>
  <c r="K22" i="39"/>
  <c r="K21" i="39"/>
  <c r="K20" i="39"/>
  <c r="K19" i="39"/>
  <c r="K18" i="39"/>
  <c r="K17" i="39"/>
  <c r="K16" i="39"/>
  <c r="K15" i="39"/>
  <c r="K14" i="39"/>
  <c r="K12" i="39"/>
  <c r="K11" i="39"/>
  <c r="K10" i="39"/>
  <c r="K9" i="39"/>
  <c r="K8" i="39"/>
  <c r="K7" i="39"/>
  <c r="H8" i="39" l="1"/>
  <c r="H9" i="39"/>
  <c r="H10" i="39"/>
  <c r="H11" i="39"/>
  <c r="H12" i="39"/>
  <c r="H14" i="39"/>
  <c r="H15" i="39"/>
  <c r="H16" i="39"/>
  <c r="H17" i="39"/>
  <c r="H18" i="39"/>
  <c r="H19" i="39"/>
  <c r="H20" i="39"/>
  <c r="H21" i="39"/>
  <c r="H22" i="39"/>
  <c r="H23" i="39"/>
  <c r="H24" i="39"/>
  <c r="H25" i="39"/>
  <c r="H26" i="39"/>
  <c r="H27" i="39"/>
  <c r="H28" i="39"/>
  <c r="H29" i="39"/>
  <c r="H30" i="39"/>
  <c r="H31" i="39"/>
  <c r="H32" i="39"/>
  <c r="H33" i="39"/>
  <c r="H34" i="39"/>
  <c r="H35" i="39"/>
  <c r="H36" i="39"/>
  <c r="H37" i="39" l="1"/>
  <c r="C26" i="37"/>
  <c r="B25" i="37"/>
  <c r="C5" i="15"/>
  <c r="C6" i="15"/>
  <c r="C7" i="15"/>
  <c r="C8" i="15"/>
  <c r="C9" i="15"/>
  <c r="C10" i="15"/>
  <c r="C11" i="15"/>
  <c r="C12" i="15"/>
  <c r="C4" i="15"/>
  <c r="F4" i="15" s="1"/>
  <c r="F19" i="21"/>
  <c r="H39" i="39" l="1"/>
  <c r="G40" i="39"/>
  <c r="C19" i="21"/>
  <c r="H19" i="21"/>
  <c r="I19" i="21" s="1"/>
  <c r="C13" i="15"/>
  <c r="G5" i="51"/>
  <c r="H5" i="51" s="1"/>
  <c r="G5" i="17"/>
  <c r="G6" i="17"/>
  <c r="G44" i="39" l="1"/>
  <c r="G43" i="39"/>
  <c r="H3" i="2"/>
  <c r="H40" i="39"/>
  <c r="I5" i="81" s="1"/>
  <c r="K5" i="81" s="1"/>
  <c r="H21" i="53"/>
  <c r="G4" i="53"/>
  <c r="G5" i="53"/>
  <c r="G6" i="53"/>
  <c r="G7" i="53"/>
  <c r="G8" i="53"/>
  <c r="G9" i="53"/>
  <c r="G10" i="53"/>
  <c r="G11" i="53"/>
  <c r="G12" i="53"/>
  <c r="G13" i="53"/>
  <c r="G14" i="53"/>
  <c r="G16" i="53"/>
  <c r="G17" i="53"/>
  <c r="G18" i="53"/>
  <c r="G19" i="53"/>
  <c r="G20" i="53"/>
  <c r="G22" i="53"/>
  <c r="H22" i="53" s="1"/>
  <c r="G23" i="53"/>
  <c r="G24" i="53"/>
  <c r="G25" i="53"/>
  <c r="G26" i="53"/>
  <c r="H26" i="53" s="1"/>
  <c r="G15" i="53"/>
  <c r="F10" i="17"/>
  <c r="G10" i="17" s="1"/>
  <c r="F9" i="17"/>
  <c r="G9" i="17" s="1"/>
  <c r="I27" i="81" l="1"/>
  <c r="I25" i="81"/>
  <c r="I21" i="81"/>
  <c r="I20" i="81"/>
  <c r="H26" i="2"/>
  <c r="H28" i="2"/>
  <c r="H21" i="2"/>
  <c r="H22" i="2"/>
  <c r="I6" i="81"/>
  <c r="I8" i="81"/>
  <c r="I10" i="81"/>
  <c r="I12" i="81"/>
  <c r="I14" i="81"/>
  <c r="I16" i="81"/>
  <c r="I18" i="81"/>
  <c r="I22" i="81"/>
  <c r="I24" i="81"/>
  <c r="I28" i="81"/>
  <c r="I7" i="81"/>
  <c r="I9" i="81"/>
  <c r="I11" i="81"/>
  <c r="I13" i="81"/>
  <c r="I15" i="81"/>
  <c r="I17" i="81"/>
  <c r="I19" i="81"/>
  <c r="I23" i="81"/>
  <c r="I26" i="81"/>
  <c r="H3" i="53"/>
  <c r="H16" i="53"/>
  <c r="G27" i="53"/>
  <c r="H18" i="53"/>
  <c r="H23" i="53"/>
  <c r="H7" i="53"/>
  <c r="H11" i="53"/>
  <c r="F16" i="23"/>
  <c r="F17" i="23"/>
  <c r="F18" i="23"/>
  <c r="F21" i="23"/>
  <c r="F23" i="23"/>
  <c r="G23" i="23" s="1"/>
  <c r="D12" i="104" s="1"/>
  <c r="F24" i="23"/>
  <c r="F25" i="23"/>
  <c r="F26" i="23"/>
  <c r="G26" i="23" s="1"/>
  <c r="D14" i="104" s="1"/>
  <c r="G8" i="23"/>
  <c r="D5" i="22"/>
  <c r="E5" i="22" s="1"/>
  <c r="E7" i="104" s="1"/>
  <c r="E7" i="105" s="1"/>
  <c r="E7" i="107" s="1"/>
  <c r="D6" i="22"/>
  <c r="E6" i="22" s="1"/>
  <c r="E8" i="104" s="1"/>
  <c r="E8" i="105" s="1"/>
  <c r="E8" i="107" s="1"/>
  <c r="D7" i="22"/>
  <c r="E7" i="22" s="1"/>
  <c r="E9" i="104" s="1"/>
  <c r="E9" i="105" s="1"/>
  <c r="E9" i="107" s="1"/>
  <c r="D8" i="22"/>
  <c r="E8" i="22" s="1"/>
  <c r="E10" i="104" s="1"/>
  <c r="E10" i="105" s="1"/>
  <c r="E10" i="107" s="1"/>
  <c r="D9" i="22"/>
  <c r="E9" i="22" s="1"/>
  <c r="E11" i="104" s="1"/>
  <c r="E11" i="105" s="1"/>
  <c r="E11" i="107" s="1"/>
  <c r="D10" i="22"/>
  <c r="E10" i="22" s="1"/>
  <c r="E12" i="104" s="1"/>
  <c r="E12" i="105" s="1"/>
  <c r="E12" i="107" s="1"/>
  <c r="D11" i="22"/>
  <c r="E11" i="22" s="1"/>
  <c r="E13" i="104" s="1"/>
  <c r="E13" i="105" s="1"/>
  <c r="E13" i="107" s="1"/>
  <c r="D12" i="22"/>
  <c r="E12" i="22" s="1"/>
  <c r="E14" i="104" s="1"/>
  <c r="E14" i="105" s="1"/>
  <c r="E14" i="107" s="1"/>
  <c r="D4" i="22"/>
  <c r="F4" i="22" s="1"/>
  <c r="M21" i="81" l="1"/>
  <c r="K21" i="81"/>
  <c r="O21" i="81"/>
  <c r="K27" i="81"/>
  <c r="O27" i="81"/>
  <c r="M27" i="81"/>
  <c r="K20" i="81"/>
  <c r="O20" i="81"/>
  <c r="M20" i="81"/>
  <c r="M25" i="81"/>
  <c r="K25" i="81"/>
  <c r="O25" i="81"/>
  <c r="G12" i="104"/>
  <c r="F12" i="104"/>
  <c r="Q153" i="98" s="1"/>
  <c r="G14" i="104"/>
  <c r="F14" i="104"/>
  <c r="Q155" i="98" s="1"/>
  <c r="G21" i="23"/>
  <c r="D11" i="104" s="1"/>
  <c r="G17" i="23"/>
  <c r="D9" i="104" s="1"/>
  <c r="D13" i="22"/>
  <c r="E4" i="22"/>
  <c r="E6" i="104" s="1"/>
  <c r="G24" i="23"/>
  <c r="D13" i="104" s="1"/>
  <c r="D10" i="104"/>
  <c r="D7" i="104"/>
  <c r="G7" i="104" s="1"/>
  <c r="D12" i="105"/>
  <c r="F27" i="23"/>
  <c r="D14" i="105"/>
  <c r="G12" i="23"/>
  <c r="D8" i="104" s="1"/>
  <c r="R12" i="100"/>
  <c r="Q7" i="100"/>
  <c r="Q8" i="100"/>
  <c r="Q10" i="100"/>
  <c r="Q11" i="100"/>
  <c r="Q12" i="100"/>
  <c r="P7" i="100"/>
  <c r="P8" i="100"/>
  <c r="P9" i="100"/>
  <c r="P10" i="100"/>
  <c r="P11" i="100"/>
  <c r="P12" i="100"/>
  <c r="O7" i="100"/>
  <c r="O8" i="100"/>
  <c r="O10" i="100"/>
  <c r="O11" i="100"/>
  <c r="O12" i="100"/>
  <c r="N7" i="100"/>
  <c r="N8" i="100"/>
  <c r="N9" i="100"/>
  <c r="N10" i="100"/>
  <c r="N11" i="100"/>
  <c r="N12" i="100"/>
  <c r="J9" i="100"/>
  <c r="O9" i="100" s="1"/>
  <c r="D9" i="100"/>
  <c r="F17" i="21" s="1"/>
  <c r="F11" i="104" l="1"/>
  <c r="G11" i="104"/>
  <c r="D11" i="105"/>
  <c r="D11" i="107" s="1"/>
  <c r="F11" i="107" s="1"/>
  <c r="Q472" i="98" s="1"/>
  <c r="G10" i="104"/>
  <c r="F10" i="104"/>
  <c r="Q151" i="98" s="1"/>
  <c r="G13" i="104"/>
  <c r="F13" i="104"/>
  <c r="G9" i="104"/>
  <c r="F9" i="104"/>
  <c r="H14" i="104"/>
  <c r="C17" i="21"/>
  <c r="C21" i="21" s="1"/>
  <c r="H17" i="21"/>
  <c r="G6" i="104"/>
  <c r="F6" i="104"/>
  <c r="G8" i="104"/>
  <c r="F8" i="104"/>
  <c r="H12" i="104"/>
  <c r="D9" i="105"/>
  <c r="F9" i="105" s="1"/>
  <c r="Q310" i="98" s="1"/>
  <c r="D8" i="105"/>
  <c r="G27" i="23"/>
  <c r="D17" i="104" s="1"/>
  <c r="E6" i="105"/>
  <c r="F7" i="104"/>
  <c r="Q148" i="98" s="1"/>
  <c r="S4" i="109" s="1"/>
  <c r="D7" i="105"/>
  <c r="Q9" i="100"/>
  <c r="F12" i="105"/>
  <c r="Q313" i="98" s="1"/>
  <c r="D12" i="107"/>
  <c r="F12" i="107" s="1"/>
  <c r="Q473" i="98" s="1"/>
  <c r="D10" i="105"/>
  <c r="F14" i="105"/>
  <c r="Q315" i="98" s="1"/>
  <c r="D14" i="107"/>
  <c r="F14" i="107" s="1"/>
  <c r="Q475" i="98" s="1"/>
  <c r="D13" i="105"/>
  <c r="F11" i="105" l="1"/>
  <c r="Q312" i="98" s="1"/>
  <c r="Q149" i="98"/>
  <c r="H8" i="104"/>
  <c r="H10" i="104"/>
  <c r="Q154" i="98"/>
  <c r="H13" i="104"/>
  <c r="Q147" i="98"/>
  <c r="H6" i="104"/>
  <c r="F15" i="104"/>
  <c r="H7" i="104"/>
  <c r="Q150" i="98"/>
  <c r="H9" i="104"/>
  <c r="Q152" i="98"/>
  <c r="H11" i="104"/>
  <c r="D9" i="107"/>
  <c r="F9" i="107" s="1"/>
  <c r="Q470" i="98" s="1"/>
  <c r="F13" i="105"/>
  <c r="Q314" i="98" s="1"/>
  <c r="D13" i="107"/>
  <c r="F13" i="107" s="1"/>
  <c r="Q474" i="98" s="1"/>
  <c r="F10" i="105"/>
  <c r="Q311" i="98" s="1"/>
  <c r="D10" i="107"/>
  <c r="F10" i="107" s="1"/>
  <c r="Q471" i="98" s="1"/>
  <c r="E6" i="107"/>
  <c r="F6" i="107" s="1"/>
  <c r="Q467" i="98" s="1"/>
  <c r="F6" i="105"/>
  <c r="Q307" i="98" s="1"/>
  <c r="F8" i="105"/>
  <c r="Q309" i="98" s="1"/>
  <c r="D8" i="107"/>
  <c r="F8" i="107" s="1"/>
  <c r="Q469" i="98" s="1"/>
  <c r="F7" i="105"/>
  <c r="Q308" i="98" s="1"/>
  <c r="T4" i="109" s="1"/>
  <c r="D7" i="107"/>
  <c r="F7" i="107" s="1"/>
  <c r="Q468" i="98" s="1"/>
  <c r="H15" i="104" l="1"/>
  <c r="Q146" i="98"/>
  <c r="R146" i="98" s="1"/>
  <c r="H15" i="21"/>
  <c r="I15" i="21" s="1"/>
  <c r="H13" i="21" l="1"/>
  <c r="I13" i="21" s="1"/>
  <c r="H12" i="21"/>
  <c r="I12" i="21" s="1"/>
  <c r="H11" i="21"/>
  <c r="I11" i="21" s="1"/>
  <c r="I8" i="21"/>
  <c r="I7" i="21"/>
  <c r="I5" i="21"/>
  <c r="O4" i="21" s="1"/>
  <c r="P4" i="21" s="1"/>
  <c r="H5" i="20"/>
  <c r="G13" i="51"/>
  <c r="G14" i="51"/>
  <c r="H14" i="51" s="1"/>
  <c r="R8" i="102" s="1"/>
  <c r="G10" i="51"/>
  <c r="G4" i="51"/>
  <c r="G27" i="18"/>
  <c r="G28" i="18"/>
  <c r="G26" i="17"/>
  <c r="G25" i="17"/>
  <c r="G7" i="18"/>
  <c r="G8" i="18"/>
  <c r="G9" i="18"/>
  <c r="G10" i="18"/>
  <c r="G11" i="18"/>
  <c r="G12" i="18"/>
  <c r="G21" i="18"/>
  <c r="G22" i="18"/>
  <c r="G20" i="17"/>
  <c r="G19" i="17"/>
  <c r="G19" i="18"/>
  <c r="G14" i="17"/>
  <c r="G15" i="17"/>
  <c r="G16" i="18"/>
  <c r="G15" i="18"/>
  <c r="G14" i="18"/>
  <c r="G13" i="18"/>
  <c r="G13" i="17"/>
  <c r="G12" i="17"/>
  <c r="F8" i="17"/>
  <c r="G8" i="17" s="1"/>
  <c r="F7" i="17"/>
  <c r="H9" i="18" l="1"/>
  <c r="H13" i="18"/>
  <c r="V7" i="102" s="1"/>
  <c r="G7" i="17"/>
  <c r="H7" i="17" s="1"/>
  <c r="U6" i="102" s="1"/>
  <c r="F28" i="17"/>
  <c r="F20" i="51"/>
  <c r="R6" i="102"/>
  <c r="V6" i="102"/>
  <c r="G6" i="18"/>
  <c r="H5" i="18" s="1"/>
  <c r="G4" i="17" l="1"/>
  <c r="G3" i="17"/>
  <c r="C23" i="17"/>
  <c r="C27" i="17"/>
  <c r="C25" i="18"/>
  <c r="C29" i="18"/>
  <c r="V5" i="102" l="1"/>
  <c r="H3" i="17"/>
  <c r="C30" i="18"/>
  <c r="C28" i="17"/>
  <c r="K12" i="14"/>
  <c r="I12" i="14"/>
  <c r="K10" i="14"/>
  <c r="I10" i="14"/>
  <c r="K9" i="14"/>
  <c r="I9" i="14"/>
  <c r="P18" i="14"/>
  <c r="H7" i="14"/>
  <c r="I7" i="14" s="1"/>
  <c r="K7" i="14"/>
  <c r="K5" i="14"/>
  <c r="I5" i="14"/>
  <c r="S12" i="14" l="1"/>
  <c r="S10" i="14"/>
  <c r="S5" i="14"/>
  <c r="S7" i="14"/>
  <c r="S9" i="14"/>
  <c r="U5" i="102"/>
  <c r="C9" i="11"/>
  <c r="C8" i="11"/>
  <c r="C7" i="11"/>
  <c r="C6" i="11"/>
  <c r="I10" i="12"/>
  <c r="H10" i="12"/>
  <c r="G10" i="12"/>
  <c r="F10" i="12"/>
  <c r="C9" i="12"/>
  <c r="J9" i="12" s="1"/>
  <c r="C8" i="12"/>
  <c r="C7" i="12"/>
  <c r="C6" i="12"/>
  <c r="J6" i="12" s="1"/>
  <c r="C10" i="12" l="1"/>
  <c r="D9" i="12"/>
  <c r="C7" i="10"/>
  <c r="C8" i="10"/>
  <c r="C9" i="10"/>
  <c r="C10" i="10"/>
  <c r="C11" i="10"/>
  <c r="C12" i="10"/>
  <c r="C13" i="10"/>
  <c r="C14" i="10"/>
  <c r="C6" i="10"/>
  <c r="C7" i="9"/>
  <c r="C8" i="9"/>
  <c r="C9" i="9"/>
  <c r="C10" i="9"/>
  <c r="C11" i="9"/>
  <c r="C12" i="9"/>
  <c r="C13" i="9"/>
  <c r="C14" i="9"/>
  <c r="C6" i="9"/>
  <c r="V9" i="55"/>
  <c r="C19" i="6" s="1"/>
  <c r="C7" i="6"/>
  <c r="C8" i="6"/>
  <c r="C9" i="6"/>
  <c r="C10" i="6"/>
  <c r="C11" i="6"/>
  <c r="C12" i="6"/>
  <c r="C13" i="6"/>
  <c r="C14" i="6"/>
  <c r="C6" i="6"/>
  <c r="C6" i="8"/>
  <c r="J6" i="6" l="1"/>
  <c r="J6" i="8"/>
  <c r="E9" i="12"/>
  <c r="L9" i="12" s="1"/>
  <c r="K9" i="12"/>
  <c r="D6" i="8" l="1"/>
  <c r="C7" i="8"/>
  <c r="C8" i="8"/>
  <c r="C9" i="8"/>
  <c r="C10" i="8"/>
  <c r="C11" i="8"/>
  <c r="C12" i="8"/>
  <c r="C13" i="8"/>
  <c r="C14" i="8"/>
  <c r="K7" i="3"/>
  <c r="K8" i="3"/>
  <c r="K9" i="3"/>
  <c r="K10" i="3"/>
  <c r="K11" i="3"/>
  <c r="K12" i="3"/>
  <c r="K13" i="3"/>
  <c r="K14" i="3"/>
  <c r="K6" i="3"/>
  <c r="G12" i="3"/>
  <c r="G13" i="3"/>
  <c r="G14" i="3"/>
  <c r="G7" i="3"/>
  <c r="G8" i="3"/>
  <c r="G9" i="3"/>
  <c r="G10" i="3"/>
  <c r="G11" i="3"/>
  <c r="E13" i="100"/>
  <c r="J6" i="100" l="1"/>
  <c r="I6" i="100"/>
  <c r="D6" i="100"/>
  <c r="D11" i="100"/>
  <c r="D8" i="100"/>
  <c r="D7" i="100"/>
  <c r="J5" i="100"/>
  <c r="I5" i="100"/>
  <c r="D5" i="100"/>
  <c r="O5" i="100" l="1"/>
  <c r="Q5" i="100"/>
  <c r="L6" i="100"/>
  <c r="M6" i="100" s="1"/>
  <c r="P6" i="100"/>
  <c r="N6" i="100"/>
  <c r="O6" i="100"/>
  <c r="Q6" i="100"/>
  <c r="N5" i="100"/>
  <c r="P5" i="100"/>
  <c r="J4" i="100"/>
  <c r="Q4" i="100" s="1"/>
  <c r="Q13" i="100" s="1"/>
  <c r="I4" i="100"/>
  <c r="D4" i="100"/>
  <c r="B7" i="3" l="1"/>
  <c r="P4" i="100"/>
  <c r="B6" i="3" s="1"/>
  <c r="N4" i="100"/>
  <c r="B5" i="100"/>
  <c r="A8" i="55" s="1"/>
  <c r="A7" i="3" s="1"/>
  <c r="A7" i="8" s="1"/>
  <c r="A7" i="6" s="1"/>
  <c r="A7" i="9" s="1"/>
  <c r="A7" i="10" s="1"/>
  <c r="A7" i="13" s="1"/>
  <c r="B6" i="100"/>
  <c r="A9" i="55" s="1"/>
  <c r="A8" i="3" s="1"/>
  <c r="A8" i="8" s="1"/>
  <c r="A8" i="6" s="1"/>
  <c r="B7" i="100"/>
  <c r="A10" i="55" s="1"/>
  <c r="A9" i="3" s="1"/>
  <c r="A9" i="8" s="1"/>
  <c r="A9" i="6" s="1"/>
  <c r="A9" i="9" s="1"/>
  <c r="A9" i="10" s="1"/>
  <c r="A9" i="13" s="1"/>
  <c r="A8" i="16" s="1"/>
  <c r="A16" i="110" s="1"/>
  <c r="B8" i="100"/>
  <c r="A11" i="55" s="1"/>
  <c r="A10" i="3" s="1"/>
  <c r="A10" i="8" s="1"/>
  <c r="A10" i="6" s="1"/>
  <c r="A10" i="9" s="1"/>
  <c r="A10" i="10" s="1"/>
  <c r="B9" i="100"/>
  <c r="A12" i="55" s="1"/>
  <c r="A11" i="3" s="1"/>
  <c r="A11" i="8" s="1"/>
  <c r="A11" i="6" s="1"/>
  <c r="A11" i="9" s="1"/>
  <c r="A11" i="10" s="1"/>
  <c r="A11" i="13" s="1"/>
  <c r="A10" i="16" s="1"/>
  <c r="A21" i="110" s="1"/>
  <c r="B10" i="100"/>
  <c r="A13" i="55" s="1"/>
  <c r="A12" i="3" s="1"/>
  <c r="A12" i="8" s="1"/>
  <c r="A12" i="6" s="1"/>
  <c r="A12" i="9" s="1"/>
  <c r="A12" i="10" s="1"/>
  <c r="A12" i="13" s="1"/>
  <c r="A11" i="16" s="1"/>
  <c r="A23" i="110" s="1"/>
  <c r="B11" i="100"/>
  <c r="A14" i="55" s="1"/>
  <c r="A13" i="3" s="1"/>
  <c r="A13" i="8" s="1"/>
  <c r="A13" i="6" s="1"/>
  <c r="A13" i="9" s="1"/>
  <c r="A13" i="10" s="1"/>
  <c r="A13" i="13" s="1"/>
  <c r="A12" i="16" s="1"/>
  <c r="A24" i="110" s="1"/>
  <c r="B12" i="100"/>
  <c r="A15" i="55" s="1"/>
  <c r="A14" i="3" s="1"/>
  <c r="A14" i="8" s="1"/>
  <c r="A14" i="6" s="1"/>
  <c r="A14" i="9" s="1"/>
  <c r="A14" i="10" s="1"/>
  <c r="B4" i="100"/>
  <c r="A7" i="55" s="1"/>
  <c r="A6" i="3" s="1"/>
  <c r="A6" i="8" s="1"/>
  <c r="A6" i="6" s="1"/>
  <c r="A6" i="9" s="1"/>
  <c r="A6" i="10" s="1"/>
  <c r="O6" i="3" l="1"/>
  <c r="E6" i="3"/>
  <c r="F6" i="3" s="1"/>
  <c r="I6" i="3"/>
  <c r="J6" i="3" s="1"/>
  <c r="A24" i="17"/>
  <c r="A11" i="33"/>
  <c r="A16" i="17"/>
  <c r="A7" i="33"/>
  <c r="A23" i="17"/>
  <c r="A10" i="33"/>
  <c r="A21" i="17"/>
  <c r="A9" i="33"/>
  <c r="A6" i="16"/>
  <c r="A7" i="110" s="1"/>
  <c r="A6" i="14"/>
  <c r="A8" i="9"/>
  <c r="A8" i="10" s="1"/>
  <c r="A19" i="6"/>
  <c r="A6" i="13"/>
  <c r="A6" i="12"/>
  <c r="A14" i="13"/>
  <c r="A13" i="16" s="1"/>
  <c r="A27" i="110" s="1"/>
  <c r="A9" i="12"/>
  <c r="A10" i="13"/>
  <c r="A9" i="16" s="1"/>
  <c r="A18" i="110" s="1"/>
  <c r="A8" i="12"/>
  <c r="A27" i="17" l="1"/>
  <c r="A12" i="33"/>
  <c r="A18" i="17"/>
  <c r="A8" i="33"/>
  <c r="A7" i="17"/>
  <c r="A5" i="33"/>
  <c r="A8" i="13"/>
  <c r="A7" i="12"/>
  <c r="A5" i="16"/>
  <c r="A3" i="110" s="1"/>
  <c r="A4" i="14"/>
  <c r="K11" i="14"/>
  <c r="A3" i="17" l="1"/>
  <c r="A4" i="33"/>
  <c r="A7" i="16"/>
  <c r="A11" i="110" s="1"/>
  <c r="A8" i="14"/>
  <c r="H18" i="14"/>
  <c r="J18" i="14"/>
  <c r="A11" i="17" l="1"/>
  <c r="A6" i="33"/>
  <c r="R18" i="14" l="1"/>
  <c r="K13" i="14"/>
  <c r="I13" i="14"/>
  <c r="O2" i="109" l="1"/>
  <c r="O15" i="109" s="1"/>
  <c r="O28" i="109" s="1"/>
  <c r="N2" i="109"/>
  <c r="N15" i="109" s="1"/>
  <c r="N28" i="109" s="1"/>
  <c r="M2" i="109"/>
  <c r="M15" i="109" s="1"/>
  <c r="M28" i="109" s="1"/>
  <c r="L2" i="109"/>
  <c r="L15" i="109" s="1"/>
  <c r="L28" i="109" s="1"/>
  <c r="K2" i="109"/>
  <c r="K15" i="109" s="1"/>
  <c r="K28" i="109" s="1"/>
  <c r="I2" i="109"/>
  <c r="G2" i="109"/>
  <c r="G15" i="109" s="1"/>
  <c r="G28" i="109" s="1"/>
  <c r="I15" i="109" l="1"/>
  <c r="I28" i="109" s="1"/>
  <c r="M48" i="98"/>
  <c r="M47" i="98"/>
  <c r="M49" i="98"/>
  <c r="M50" i="98"/>
  <c r="M51" i="98"/>
  <c r="M52" i="98"/>
  <c r="M53" i="98"/>
  <c r="M54" i="98"/>
  <c r="I39" i="39" l="1"/>
  <c r="F7" i="38"/>
  <c r="F8" i="38"/>
  <c r="F9" i="38"/>
  <c r="F10" i="38"/>
  <c r="F11" i="38"/>
  <c r="F6" i="38"/>
  <c r="F12" i="38" s="1"/>
  <c r="G6" i="38"/>
  <c r="K6" i="21" l="1"/>
  <c r="K9" i="21" l="1"/>
  <c r="P446" i="98"/>
  <c r="N295" i="98"/>
  <c r="N455" i="98" s="1"/>
  <c r="M295" i="98"/>
  <c r="N294" i="98"/>
  <c r="N454" i="98" s="1"/>
  <c r="M294" i="98"/>
  <c r="N293" i="98"/>
  <c r="N453" i="98" s="1"/>
  <c r="M293" i="98"/>
  <c r="N292" i="98"/>
  <c r="N452" i="98" s="1"/>
  <c r="M292" i="98"/>
  <c r="N291" i="98"/>
  <c r="N451" i="98" s="1"/>
  <c r="M291" i="98"/>
  <c r="N290" i="98"/>
  <c r="N450" i="98" s="1"/>
  <c r="M290" i="98"/>
  <c r="N289" i="98"/>
  <c r="N449" i="98" s="1"/>
  <c r="M289" i="98"/>
  <c r="N288" i="98"/>
  <c r="N448" i="98" s="1"/>
  <c r="M288" i="98"/>
  <c r="N287" i="98"/>
  <c r="N447" i="98" s="1"/>
  <c r="M287" i="98"/>
  <c r="P286" i="98"/>
  <c r="B286" i="98"/>
  <c r="B446" i="98" s="1"/>
  <c r="A286" i="98"/>
  <c r="A446" i="98" s="1"/>
  <c r="K14" i="21" l="1"/>
  <c r="M447" i="98"/>
  <c r="M449" i="98"/>
  <c r="M451" i="98"/>
  <c r="M453" i="98"/>
  <c r="M455" i="98"/>
  <c r="M448" i="98"/>
  <c r="M450" i="98"/>
  <c r="M452" i="98"/>
  <c r="M454" i="98"/>
  <c r="B296" i="98"/>
  <c r="B456" i="98" s="1"/>
  <c r="B276" i="98"/>
  <c r="G3" i="51"/>
  <c r="H3" i="51" s="1"/>
  <c r="G15" i="51"/>
  <c r="H15" i="51" s="1"/>
  <c r="R9" i="102" s="1"/>
  <c r="G17" i="51"/>
  <c r="H17" i="51" s="1"/>
  <c r="R11" i="102" s="1"/>
  <c r="G18" i="51"/>
  <c r="H18" i="51" s="1"/>
  <c r="R12" i="102" s="1"/>
  <c r="G19" i="51"/>
  <c r="H19" i="51" s="1"/>
  <c r="R13" i="102" s="1"/>
  <c r="G18" i="18"/>
  <c r="H18" i="18" s="1"/>
  <c r="G23" i="18"/>
  <c r="H23" i="18" s="1"/>
  <c r="V10" i="102" s="1"/>
  <c r="G25" i="18"/>
  <c r="H25" i="18" s="1"/>
  <c r="V11" i="102" s="1"/>
  <c r="G26" i="18"/>
  <c r="H26" i="18" s="1"/>
  <c r="V12" i="102" s="1"/>
  <c r="G29" i="18"/>
  <c r="H29" i="18" s="1"/>
  <c r="V13" i="102" s="1"/>
  <c r="V8" i="102" l="1"/>
  <c r="R5" i="102"/>
  <c r="K16" i="21"/>
  <c r="G20" i="18"/>
  <c r="H20" i="18" s="1"/>
  <c r="V9" i="102" s="1"/>
  <c r="O328" i="98"/>
  <c r="O329" i="98"/>
  <c r="O330" i="98"/>
  <c r="O331" i="98"/>
  <c r="O332" i="98"/>
  <c r="O333" i="98"/>
  <c r="O334" i="98"/>
  <c r="O335" i="98"/>
  <c r="P126" i="98"/>
  <c r="H30" i="18" l="1"/>
  <c r="V16" i="102" s="1"/>
  <c r="K17" i="21"/>
  <c r="O167" i="98"/>
  <c r="O16" i="98"/>
  <c r="F30" i="18"/>
  <c r="E13" i="15"/>
  <c r="G15" i="10"/>
  <c r="K18" i="21" l="1"/>
  <c r="K19" i="21" l="1"/>
  <c r="O144" i="98"/>
  <c r="O164" i="98" s="1"/>
  <c r="O141" i="98"/>
  <c r="O143" i="98"/>
  <c r="O142" i="98"/>
  <c r="O145" i="98"/>
  <c r="O137" i="98"/>
  <c r="O157" i="98" s="1"/>
  <c r="K20" i="21" l="1"/>
  <c r="L19" i="21"/>
  <c r="M19" i="21" s="1"/>
  <c r="O289" i="98"/>
  <c r="O449" i="98" s="1"/>
  <c r="O282" i="98"/>
  <c r="O442" i="98" s="1"/>
  <c r="O285" i="98"/>
  <c r="O445" i="98" s="1"/>
  <c r="O283" i="98"/>
  <c r="O443" i="98" s="1"/>
  <c r="O280" i="98"/>
  <c r="O440" i="98" s="1"/>
  <c r="O281" i="98"/>
  <c r="O441" i="98" s="1"/>
  <c r="O245" i="98"/>
  <c r="O405" i="98" s="1"/>
  <c r="O242" i="98"/>
  <c r="O402" i="98" s="1"/>
  <c r="O243" i="98"/>
  <c r="O403" i="98" s="1"/>
  <c r="O240" i="98"/>
  <c r="O400" i="98" s="1"/>
  <c r="O241" i="98"/>
  <c r="O401" i="98" s="1"/>
  <c r="O140" i="98"/>
  <c r="O300" i="98" s="1"/>
  <c r="O290" i="98"/>
  <c r="O450" i="98" s="1"/>
  <c r="O278" i="98"/>
  <c r="O438" i="98" s="1"/>
  <c r="O238" i="98"/>
  <c r="O398" i="98" s="1"/>
  <c r="O284" i="98"/>
  <c r="O444" i="98" s="1"/>
  <c r="O244" i="98"/>
  <c r="O404" i="98" s="1"/>
  <c r="O239" i="98"/>
  <c r="O399" i="98" s="1"/>
  <c r="O305" i="98"/>
  <c r="O304" i="98"/>
  <c r="O303" i="98"/>
  <c r="O302" i="98"/>
  <c r="O301" i="98"/>
  <c r="O299" i="98"/>
  <c r="O298" i="98"/>
  <c r="O295" i="98"/>
  <c r="O455" i="98" s="1"/>
  <c r="O294" i="98"/>
  <c r="O454" i="98" s="1"/>
  <c r="O293" i="98"/>
  <c r="O453" i="98" s="1"/>
  <c r="O292" i="98"/>
  <c r="O452" i="98" s="1"/>
  <c r="O291" i="98"/>
  <c r="O451" i="98" s="1"/>
  <c r="O288" i="98"/>
  <c r="O448" i="98" s="1"/>
  <c r="O279" i="98"/>
  <c r="O439" i="98" s="1"/>
  <c r="O273" i="98"/>
  <c r="O433" i="98" s="1"/>
  <c r="O271" i="98"/>
  <c r="O431" i="98" s="1"/>
  <c r="O287" i="98"/>
  <c r="O269" i="98"/>
  <c r="O429" i="98" s="1"/>
  <c r="O297" i="98"/>
  <c r="G29" i="81" l="1"/>
  <c r="O275" i="98"/>
  <c r="O435" i="98" s="1"/>
  <c r="O162" i="98"/>
  <c r="O163" i="98"/>
  <c r="O161" i="98"/>
  <c r="O225" i="98"/>
  <c r="O385" i="98" s="1"/>
  <c r="O165" i="98"/>
  <c r="O218" i="98"/>
  <c r="O378" i="98" s="1"/>
  <c r="O220" i="98"/>
  <c r="O380" i="98" s="1"/>
  <c r="O261" i="98"/>
  <c r="O421" i="98" s="1"/>
  <c r="O222" i="98"/>
  <c r="O382" i="98" s="1"/>
  <c r="O221" i="98"/>
  <c r="O381" i="98" s="1"/>
  <c r="O265" i="98"/>
  <c r="O425" i="98" s="1"/>
  <c r="O223" i="98"/>
  <c r="O383" i="98" s="1"/>
  <c r="O263" i="98"/>
  <c r="O423" i="98" s="1"/>
  <c r="O259" i="98"/>
  <c r="O419" i="98" s="1"/>
  <c r="O219" i="98"/>
  <c r="O379" i="98" s="1"/>
  <c r="O136" i="98"/>
  <c r="O126" i="98"/>
  <c r="O116" i="98"/>
  <c r="O76" i="98"/>
  <c r="O286" i="98"/>
  <c r="O458" i="98"/>
  <c r="O460" i="98"/>
  <c r="O462" i="98"/>
  <c r="O464" i="98"/>
  <c r="O459" i="98"/>
  <c r="O461" i="98"/>
  <c r="O463" i="98"/>
  <c r="O465" i="98"/>
  <c r="B6" i="2"/>
  <c r="G6" i="2"/>
  <c r="G30" i="2" s="1"/>
  <c r="F6" i="2"/>
  <c r="F30" i="2" s="1"/>
  <c r="O272" i="98"/>
  <c r="O432" i="98" s="1"/>
  <c r="O270" i="98"/>
  <c r="O430" i="98" s="1"/>
  <c r="O262" i="98"/>
  <c r="O422" i="98" s="1"/>
  <c r="O260" i="98"/>
  <c r="O420" i="98" s="1"/>
  <c r="O447" i="98"/>
  <c r="O446" i="98" s="1"/>
  <c r="O258" i="98"/>
  <c r="O418" i="98" s="1"/>
  <c r="O264" i="98"/>
  <c r="O424" i="98" s="1"/>
  <c r="H6" i="2" l="1"/>
  <c r="O6" i="2"/>
  <c r="B30" i="2"/>
  <c r="C6" i="2"/>
  <c r="P6" i="2" s="1"/>
  <c r="D29" i="81"/>
  <c r="C29" i="81"/>
  <c r="P161" i="98"/>
  <c r="P162" i="98"/>
  <c r="O160" i="98"/>
  <c r="O274" i="98"/>
  <c r="O434" i="98" s="1"/>
  <c r="P160" i="98"/>
  <c r="P159" i="98"/>
  <c r="P158" i="98"/>
  <c r="O268" i="98"/>
  <c r="O428" i="98" s="1"/>
  <c r="O158" i="98"/>
  <c r="P163" i="98"/>
  <c r="P165" i="98"/>
  <c r="O224" i="98"/>
  <c r="O384" i="98" s="1"/>
  <c r="P164" i="98"/>
  <c r="O96" i="98"/>
  <c r="P157" i="98"/>
  <c r="O56" i="98"/>
  <c r="E6" i="2"/>
  <c r="R6" i="2" s="1"/>
  <c r="O106" i="98"/>
  <c r="U6" i="2" l="1"/>
  <c r="O30" i="2"/>
  <c r="C30" i="2"/>
  <c r="F5" i="2"/>
  <c r="U156" i="98"/>
  <c r="P156" i="98"/>
  <c r="F12" i="15"/>
  <c r="Y13" i="102" s="1"/>
  <c r="F11" i="15"/>
  <c r="Y12" i="102" s="1"/>
  <c r="F10" i="15"/>
  <c r="Y11" i="102" s="1"/>
  <c r="F9" i="15"/>
  <c r="Y10" i="102" s="1"/>
  <c r="F8" i="15"/>
  <c r="Y9" i="102" s="1"/>
  <c r="F7" i="15"/>
  <c r="Y8" i="102" s="1"/>
  <c r="F6" i="15"/>
  <c r="Y7" i="102" s="1"/>
  <c r="F5" i="15"/>
  <c r="Y6" i="102" s="1"/>
  <c r="C13" i="100"/>
  <c r="K13" i="100"/>
  <c r="J13" i="100"/>
  <c r="I13" i="100"/>
  <c r="G13" i="100"/>
  <c r="F13" i="100"/>
  <c r="AI5" i="81" l="1"/>
  <c r="AJ5" i="81" s="1"/>
  <c r="Y5" i="102"/>
  <c r="Y14" i="102" s="1"/>
  <c r="F13" i="15"/>
  <c r="Y16" i="102" s="1"/>
  <c r="Y17" i="102" l="1"/>
  <c r="F6" i="22"/>
  <c r="T5" i="109" l="1"/>
  <c r="G6" i="22"/>
  <c r="F12" i="33"/>
  <c r="G12" i="33" s="1"/>
  <c r="X13" i="102" s="1"/>
  <c r="F12" i="22"/>
  <c r="F11" i="22"/>
  <c r="F8" i="22"/>
  <c r="F7" i="22"/>
  <c r="G11" i="22" l="1"/>
  <c r="G8" i="22"/>
  <c r="S9" i="109"/>
  <c r="F10" i="22"/>
  <c r="S5" i="109"/>
  <c r="T10" i="109"/>
  <c r="D15" i="104"/>
  <c r="T6" i="109"/>
  <c r="U10" i="109"/>
  <c r="S6" i="109"/>
  <c r="S11" i="109"/>
  <c r="G12" i="22"/>
  <c r="U11" i="109" s="1"/>
  <c r="G7" i="22"/>
  <c r="U6" i="109" s="1"/>
  <c r="D15" i="105"/>
  <c r="U5" i="109"/>
  <c r="T11" i="109"/>
  <c r="S8" i="109"/>
  <c r="F9" i="22"/>
  <c r="F5" i="22"/>
  <c r="S10" i="109"/>
  <c r="D15" i="107"/>
  <c r="D18" i="104" l="1"/>
  <c r="G5" i="22"/>
  <c r="U4" i="109" s="1"/>
  <c r="T9" i="109"/>
  <c r="G10" i="22"/>
  <c r="U9" i="109" s="1"/>
  <c r="F13" i="22"/>
  <c r="T8" i="109"/>
  <c r="G9" i="22"/>
  <c r="U8" i="109" s="1"/>
  <c r="G4" i="22"/>
  <c r="E13" i="22" l="1"/>
  <c r="E17" i="104" s="1"/>
  <c r="G13" i="22"/>
  <c r="F19" i="104" s="1"/>
  <c r="F20" i="104" s="1"/>
  <c r="E15" i="105"/>
  <c r="T3" i="109"/>
  <c r="F17" i="104" l="1"/>
  <c r="F18" i="104" s="1"/>
  <c r="E15" i="104"/>
  <c r="G15" i="104" s="1"/>
  <c r="S3" i="109"/>
  <c r="J20" i="37"/>
  <c r="J7" i="37"/>
  <c r="J8" i="37"/>
  <c r="J9" i="37"/>
  <c r="J10" i="37"/>
  <c r="J11" i="37"/>
  <c r="J6" i="37"/>
  <c r="J12" i="37"/>
  <c r="J8" i="36"/>
  <c r="J9" i="36"/>
  <c r="J10" i="36"/>
  <c r="J11" i="36"/>
  <c r="J7" i="36"/>
  <c r="D13" i="33"/>
  <c r="E18" i="104" l="1"/>
  <c r="K15" i="13"/>
  <c r="M10" i="11"/>
  <c r="N10" i="11"/>
  <c r="I10" i="11"/>
  <c r="H10" i="11"/>
  <c r="G10" i="11"/>
  <c r="F10" i="11"/>
  <c r="N10" i="12"/>
  <c r="M10" i="12"/>
  <c r="M15" i="10"/>
  <c r="I15" i="10"/>
  <c r="H15" i="10"/>
  <c r="F15" i="10"/>
  <c r="M15" i="9"/>
  <c r="I15" i="9"/>
  <c r="H15" i="9"/>
  <c r="G15" i="9"/>
  <c r="F15" i="9"/>
  <c r="M15" i="6"/>
  <c r="M15" i="8"/>
  <c r="I15" i="6" l="1"/>
  <c r="H15" i="6"/>
  <c r="S13" i="14"/>
  <c r="T13" i="14" s="1"/>
  <c r="N9" i="102" s="1"/>
  <c r="I15" i="8" l="1"/>
  <c r="F15" i="8"/>
  <c r="F15" i="6"/>
  <c r="H15" i="8"/>
  <c r="N15" i="8"/>
  <c r="F27" i="53"/>
  <c r="C27" i="53"/>
  <c r="N15" i="10"/>
  <c r="N15" i="9"/>
  <c r="N15" i="6"/>
  <c r="D21" i="21"/>
  <c r="D14" i="16"/>
  <c r="Q18" i="14"/>
  <c r="G18" i="14"/>
  <c r="F18" i="14"/>
  <c r="H15" i="3"/>
  <c r="I17" i="21"/>
  <c r="D9" i="11" l="1"/>
  <c r="E9" i="11" s="1"/>
  <c r="D8" i="11"/>
  <c r="E8" i="11" s="1"/>
  <c r="D7" i="11"/>
  <c r="E7" i="11" s="1"/>
  <c r="D8" i="12"/>
  <c r="E8" i="12" s="1"/>
  <c r="D7" i="12"/>
  <c r="E7" i="12" s="1"/>
  <c r="E7" i="10"/>
  <c r="E8" i="10"/>
  <c r="D9" i="10"/>
  <c r="E10" i="10"/>
  <c r="E11" i="10"/>
  <c r="E12" i="10"/>
  <c r="D13" i="10"/>
  <c r="E14" i="10"/>
  <c r="E19" i="6"/>
  <c r="D7" i="9"/>
  <c r="E7" i="9" s="1"/>
  <c r="D8" i="9"/>
  <c r="E8" i="9" s="1"/>
  <c r="D9" i="9"/>
  <c r="E9" i="9" s="1"/>
  <c r="D10" i="9"/>
  <c r="E10" i="9" s="1"/>
  <c r="D11" i="9"/>
  <c r="E11" i="9" s="1"/>
  <c r="D12" i="9"/>
  <c r="E12" i="9" s="1"/>
  <c r="D13" i="9"/>
  <c r="E13" i="9" s="1"/>
  <c r="D14" i="9"/>
  <c r="E14" i="9" s="1"/>
  <c r="D7" i="6"/>
  <c r="E7" i="6" s="1"/>
  <c r="D8" i="6"/>
  <c r="E8" i="6" s="1"/>
  <c r="D9" i="6"/>
  <c r="E9" i="6" s="1"/>
  <c r="D10" i="6"/>
  <c r="E10" i="6" s="1"/>
  <c r="D11" i="6"/>
  <c r="E11" i="6" s="1"/>
  <c r="D12" i="6"/>
  <c r="E12" i="6" s="1"/>
  <c r="D13" i="6"/>
  <c r="E13" i="6" s="1"/>
  <c r="D14" i="6"/>
  <c r="E14" i="6" s="1"/>
  <c r="D6" i="6"/>
  <c r="K6" i="6" s="1"/>
  <c r="D7" i="8"/>
  <c r="E7" i="8" s="1"/>
  <c r="D8" i="8"/>
  <c r="E8" i="8" s="1"/>
  <c r="D9" i="8"/>
  <c r="E9" i="8" s="1"/>
  <c r="D10" i="8"/>
  <c r="E10" i="8" s="1"/>
  <c r="D11" i="8"/>
  <c r="E11" i="8" s="1"/>
  <c r="D12" i="8"/>
  <c r="E12" i="8" s="1"/>
  <c r="D13" i="8"/>
  <c r="E13" i="8" s="1"/>
  <c r="D14" i="8"/>
  <c r="E14" i="8" s="1"/>
  <c r="AH16" i="55"/>
  <c r="AL16" i="55"/>
  <c r="C16" i="55"/>
  <c r="D16" i="55"/>
  <c r="E16" i="55"/>
  <c r="F16" i="55"/>
  <c r="G16" i="55"/>
  <c r="H16" i="55"/>
  <c r="I16" i="55"/>
  <c r="J16" i="55"/>
  <c r="K16" i="55"/>
  <c r="L16" i="55"/>
  <c r="M16" i="55"/>
  <c r="N16" i="55"/>
  <c r="O16" i="55"/>
  <c r="P16" i="55"/>
  <c r="Q16" i="55"/>
  <c r="R16" i="55"/>
  <c r="S16" i="55"/>
  <c r="T16" i="55"/>
  <c r="U16" i="55"/>
  <c r="V16" i="55"/>
  <c r="W16" i="55"/>
  <c r="X16" i="55"/>
  <c r="Y16" i="55"/>
  <c r="AB16" i="55"/>
  <c r="AC16" i="55"/>
  <c r="AD16" i="55"/>
  <c r="AE16" i="55"/>
  <c r="AF16" i="55"/>
  <c r="AG16" i="55"/>
  <c r="AI16" i="55"/>
  <c r="AJ16" i="55"/>
  <c r="AK16" i="55"/>
  <c r="B16" i="55"/>
  <c r="D19" i="6" l="1"/>
  <c r="D15" i="6"/>
  <c r="C10" i="11"/>
  <c r="C15" i="6"/>
  <c r="D6" i="11"/>
  <c r="D6" i="12"/>
  <c r="D10" i="12" s="1"/>
  <c r="E9" i="10"/>
  <c r="E6" i="10"/>
  <c r="C15" i="10"/>
  <c r="E13" i="10"/>
  <c r="D6" i="9"/>
  <c r="K6" i="9" s="1"/>
  <c r="C15" i="9"/>
  <c r="C15" i="8"/>
  <c r="K6" i="8"/>
  <c r="D12" i="10"/>
  <c r="D8" i="10"/>
  <c r="D11" i="10"/>
  <c r="D7" i="10"/>
  <c r="D6" i="10"/>
  <c r="D14" i="10"/>
  <c r="D10" i="10"/>
  <c r="E6" i="6"/>
  <c r="E15" i="6" l="1"/>
  <c r="L6" i="6"/>
  <c r="E6" i="12"/>
  <c r="E10" i="12" s="1"/>
  <c r="E6" i="11"/>
  <c r="E10" i="11" s="1"/>
  <c r="D10" i="11"/>
  <c r="E15" i="10"/>
  <c r="D15" i="10"/>
  <c r="E6" i="9"/>
  <c r="E15" i="9" s="1"/>
  <c r="D15" i="9"/>
  <c r="E6" i="8"/>
  <c r="E15" i="8" s="1"/>
  <c r="D15" i="8"/>
  <c r="Z16" i="55" l="1"/>
  <c r="G9" i="51" l="1"/>
  <c r="H9" i="51" s="1"/>
  <c r="R7" i="102" l="1"/>
  <c r="R14" i="102" s="1"/>
  <c r="H20" i="51"/>
  <c r="R16" i="102" s="1"/>
  <c r="G7" i="38"/>
  <c r="G8" i="38"/>
  <c r="G9" i="38"/>
  <c r="G10" i="38"/>
  <c r="G11" i="38"/>
  <c r="R17" i="102" l="1"/>
  <c r="G12" i="38"/>
  <c r="D17" i="38" s="1"/>
  <c r="S7" i="109"/>
  <c r="D39" i="38" l="1"/>
  <c r="D37" i="38"/>
  <c r="D33" i="38"/>
  <c r="D32" i="38"/>
  <c r="U7" i="109"/>
  <c r="B5" i="35"/>
  <c r="F5" i="33"/>
  <c r="G5" i="33" s="1"/>
  <c r="X6" i="102" s="1"/>
  <c r="F6" i="33"/>
  <c r="G6" i="33" s="1"/>
  <c r="X7" i="102" s="1"/>
  <c r="G7" i="33"/>
  <c r="X8" i="102" s="1"/>
  <c r="F8" i="33"/>
  <c r="G8" i="33" s="1"/>
  <c r="X9" i="102" s="1"/>
  <c r="F9" i="33"/>
  <c r="G9" i="33" s="1"/>
  <c r="X10" i="102" s="1"/>
  <c r="F10" i="33"/>
  <c r="G10" i="33" s="1"/>
  <c r="X11" i="102" s="1"/>
  <c r="F11" i="33"/>
  <c r="G11" i="33" s="1"/>
  <c r="X12" i="102" s="1"/>
  <c r="F4" i="33"/>
  <c r="G4" i="33" s="1"/>
  <c r="X5" i="102" s="1"/>
  <c r="S12" i="102"/>
  <c r="S11" i="102"/>
  <c r="S9" i="102"/>
  <c r="S8" i="102"/>
  <c r="S7" i="102"/>
  <c r="S6" i="102"/>
  <c r="F15" i="105" l="1"/>
  <c r="T7" i="109"/>
  <c r="S5" i="102"/>
  <c r="G20" i="6"/>
  <c r="F20" i="6"/>
  <c r="R13" i="100"/>
  <c r="Q14" i="100" s="1"/>
  <c r="R14" i="100" l="1"/>
  <c r="G13" i="33"/>
  <c r="X16" i="102" s="1"/>
  <c r="X14" i="102"/>
  <c r="J4" i="88"/>
  <c r="X17" i="102" l="1"/>
  <c r="D25" i="37"/>
  <c r="D16" i="38" s="1"/>
  <c r="B26" i="37"/>
  <c r="B16" i="38" s="1"/>
  <c r="J16" i="98" l="1"/>
  <c r="K16" i="98"/>
  <c r="J6" i="98"/>
  <c r="K6" i="98"/>
  <c r="I11" i="36"/>
  <c r="K11" i="36" s="1"/>
  <c r="K10" i="36"/>
  <c r="I9" i="36"/>
  <c r="K9" i="36" s="1"/>
  <c r="I8" i="36"/>
  <c r="K8" i="36" s="1"/>
  <c r="I7" i="36"/>
  <c r="K7" i="36" s="1"/>
  <c r="I20" i="37"/>
  <c r="K20" i="37" s="1"/>
  <c r="I19" i="37"/>
  <c r="I18" i="37"/>
  <c r="I12" i="37"/>
  <c r="K12" i="37" s="1"/>
  <c r="I11" i="37"/>
  <c r="K11" i="37" s="1"/>
  <c r="I10" i="37"/>
  <c r="K10" i="37" s="1"/>
  <c r="I9" i="37"/>
  <c r="K9" i="37" s="1"/>
  <c r="I8" i="37"/>
  <c r="K8" i="37" s="1"/>
  <c r="I7" i="37"/>
  <c r="K7" i="37" s="1"/>
  <c r="I6" i="37"/>
  <c r="K6" i="37" s="1"/>
  <c r="I21" i="37" l="1"/>
  <c r="I22" i="37" s="1"/>
  <c r="K13" i="37"/>
  <c r="K14" i="37" s="1"/>
  <c r="I12" i="36"/>
  <c r="K12" i="36"/>
  <c r="I13" i="37"/>
  <c r="I14" i="37" s="1"/>
  <c r="E5" i="88" l="1"/>
  <c r="O490" i="98" l="1"/>
  <c r="C4" i="105"/>
  <c r="C4" i="107" s="1"/>
  <c r="C4" i="104"/>
  <c r="P456" i="98" l="1"/>
  <c r="B436" i="98"/>
  <c r="B376" i="98"/>
  <c r="M208" i="98" l="1"/>
  <c r="M209" i="98"/>
  <c r="M210" i="98"/>
  <c r="M211" i="98"/>
  <c r="M212" i="98"/>
  <c r="M213" i="98"/>
  <c r="M214" i="98"/>
  <c r="M207" i="98"/>
  <c r="G6" i="88" l="1"/>
  <c r="G7" i="88"/>
  <c r="G8" i="88"/>
  <c r="G9" i="88"/>
  <c r="G10" i="88"/>
  <c r="G11" i="88"/>
  <c r="G12" i="88"/>
  <c r="F13" i="88"/>
  <c r="G13" i="88"/>
  <c r="G5" i="88"/>
  <c r="D5" i="88"/>
  <c r="B14" i="3"/>
  <c r="I14" i="3" s="1"/>
  <c r="G14" i="88" l="1"/>
  <c r="C14" i="88"/>
  <c r="D14" i="88"/>
  <c r="L14" i="3"/>
  <c r="M14" i="3" s="1"/>
  <c r="E14" i="3"/>
  <c r="F14" i="3" s="1"/>
  <c r="O14" i="3"/>
  <c r="P14" i="3" s="1"/>
  <c r="E13" i="88"/>
  <c r="N305" i="98" l="1"/>
  <c r="N465" i="98" s="1"/>
  <c r="M305" i="98"/>
  <c r="N304" i="98"/>
  <c r="N464" i="98" s="1"/>
  <c r="M304" i="98"/>
  <c r="N303" i="98"/>
  <c r="N463" i="98" s="1"/>
  <c r="M303" i="98"/>
  <c r="N302" i="98"/>
  <c r="N462" i="98" s="1"/>
  <c r="M302" i="98"/>
  <c r="N301" i="98"/>
  <c r="N461" i="98" s="1"/>
  <c r="M301" i="98"/>
  <c r="N300" i="98"/>
  <c r="N460" i="98" s="1"/>
  <c r="M300" i="98"/>
  <c r="N299" i="98"/>
  <c r="N459" i="98" s="1"/>
  <c r="M299" i="98"/>
  <c r="N298" i="98"/>
  <c r="N458" i="98" s="1"/>
  <c r="M298" i="98"/>
  <c r="N297" i="98"/>
  <c r="N457" i="98" s="1"/>
  <c r="M297" i="98"/>
  <c r="P296" i="98"/>
  <c r="A296" i="98"/>
  <c r="A456" i="98" s="1"/>
  <c r="M278" i="98"/>
  <c r="M438" i="98" s="1"/>
  <c r="N278" i="98"/>
  <c r="N438" i="98" s="1"/>
  <c r="M279" i="98"/>
  <c r="M439" i="98" s="1"/>
  <c r="N279" i="98"/>
  <c r="N439" i="98" s="1"/>
  <c r="M280" i="98"/>
  <c r="M440" i="98" s="1"/>
  <c r="N280" i="98"/>
  <c r="N440" i="98" s="1"/>
  <c r="M281" i="98"/>
  <c r="M441" i="98" s="1"/>
  <c r="N281" i="98"/>
  <c r="N441" i="98" s="1"/>
  <c r="M282" i="98"/>
  <c r="M442" i="98" s="1"/>
  <c r="N282" i="98"/>
  <c r="N442" i="98" s="1"/>
  <c r="M283" i="98"/>
  <c r="M443" i="98" s="1"/>
  <c r="N283" i="98"/>
  <c r="N443" i="98" s="1"/>
  <c r="M284" i="98"/>
  <c r="M444" i="98" s="1"/>
  <c r="N284" i="98"/>
  <c r="N444" i="98" s="1"/>
  <c r="M285" i="98"/>
  <c r="M445" i="98" s="1"/>
  <c r="N285" i="98"/>
  <c r="N445" i="98" s="1"/>
  <c r="N277" i="98"/>
  <c r="M277" i="98"/>
  <c r="A276" i="98"/>
  <c r="A436" i="98" s="1"/>
  <c r="M268" i="98"/>
  <c r="M428" i="98" s="1"/>
  <c r="N268" i="98"/>
  <c r="N428" i="98" s="1"/>
  <c r="M269" i="98"/>
  <c r="M429" i="98" s="1"/>
  <c r="N269" i="98"/>
  <c r="N429" i="98" s="1"/>
  <c r="M270" i="98"/>
  <c r="M430" i="98" s="1"/>
  <c r="N270" i="98"/>
  <c r="N430" i="98" s="1"/>
  <c r="M271" i="98"/>
  <c r="M431" i="98" s="1"/>
  <c r="N271" i="98"/>
  <c r="N431" i="98" s="1"/>
  <c r="M272" i="98"/>
  <c r="M432" i="98" s="1"/>
  <c r="N272" i="98"/>
  <c r="N432" i="98" s="1"/>
  <c r="M273" i="98"/>
  <c r="M433" i="98" s="1"/>
  <c r="N273" i="98"/>
  <c r="N433" i="98" s="1"/>
  <c r="M274" i="98"/>
  <c r="M434" i="98" s="1"/>
  <c r="N274" i="98"/>
  <c r="N434" i="98" s="1"/>
  <c r="M275" i="98"/>
  <c r="M435" i="98" s="1"/>
  <c r="N275" i="98"/>
  <c r="N435" i="98" s="1"/>
  <c r="N267" i="98"/>
  <c r="M267" i="98"/>
  <c r="B266" i="98"/>
  <c r="B426" i="98" s="1"/>
  <c r="A266" i="98"/>
  <c r="A426" i="98" s="1"/>
  <c r="M258" i="98"/>
  <c r="M418" i="98" s="1"/>
  <c r="N258" i="98"/>
  <c r="N418" i="98" s="1"/>
  <c r="M259" i="98"/>
  <c r="M419" i="98" s="1"/>
  <c r="N259" i="98"/>
  <c r="N419" i="98" s="1"/>
  <c r="M260" i="98"/>
  <c r="M420" i="98" s="1"/>
  <c r="N260" i="98"/>
  <c r="N420" i="98" s="1"/>
  <c r="M261" i="98"/>
  <c r="M421" i="98" s="1"/>
  <c r="N261" i="98"/>
  <c r="N421" i="98" s="1"/>
  <c r="M262" i="98"/>
  <c r="M422" i="98" s="1"/>
  <c r="N262" i="98"/>
  <c r="N422" i="98" s="1"/>
  <c r="M263" i="98"/>
  <c r="M423" i="98" s="1"/>
  <c r="N263" i="98"/>
  <c r="N423" i="98" s="1"/>
  <c r="M264" i="98"/>
  <c r="M424" i="98" s="1"/>
  <c r="N264" i="98"/>
  <c r="N424" i="98" s="1"/>
  <c r="M265" i="98"/>
  <c r="M425" i="98" s="1"/>
  <c r="N265" i="98"/>
  <c r="N425" i="98" s="1"/>
  <c r="N257" i="98"/>
  <c r="M257" i="98"/>
  <c r="M417" i="98" s="1"/>
  <c r="B256" i="98"/>
  <c r="B416" i="98" s="1"/>
  <c r="A256" i="98"/>
  <c r="A416" i="98" s="1"/>
  <c r="N238" i="98"/>
  <c r="N398" i="98" s="1"/>
  <c r="N239" i="98"/>
  <c r="N399" i="98" s="1"/>
  <c r="N240" i="98"/>
  <c r="N400" i="98" s="1"/>
  <c r="N241" i="98"/>
  <c r="N401" i="98" s="1"/>
  <c r="N242" i="98"/>
  <c r="N402" i="98" s="1"/>
  <c r="N243" i="98"/>
  <c r="N403" i="98" s="1"/>
  <c r="N244" i="98"/>
  <c r="N404" i="98" s="1"/>
  <c r="N245" i="98"/>
  <c r="N405" i="98" s="1"/>
  <c r="N237" i="98"/>
  <c r="M238" i="98"/>
  <c r="M398" i="98" s="1"/>
  <c r="M239" i="98"/>
  <c r="M399" i="98" s="1"/>
  <c r="M240" i="98"/>
  <c r="M400" i="98" s="1"/>
  <c r="M241" i="98"/>
  <c r="M401" i="98" s="1"/>
  <c r="M242" i="98"/>
  <c r="M402" i="98" s="1"/>
  <c r="M243" i="98"/>
  <c r="M403" i="98" s="1"/>
  <c r="M244" i="98"/>
  <c r="M404" i="98" s="1"/>
  <c r="M245" i="98"/>
  <c r="M405" i="98" s="1"/>
  <c r="M237" i="98"/>
  <c r="M397" i="98" s="1"/>
  <c r="M217" i="98"/>
  <c r="N217" i="98"/>
  <c r="B236" i="98"/>
  <c r="B396" i="98" s="1"/>
  <c r="A236" i="98"/>
  <c r="A396" i="98" s="1"/>
  <c r="A216" i="98"/>
  <c r="A376" i="98" s="1"/>
  <c r="B206" i="98"/>
  <c r="B366" i="98" s="1"/>
  <c r="B196" i="98"/>
  <c r="B356" i="98" s="1"/>
  <c r="M458" i="98" l="1"/>
  <c r="M460" i="98"/>
  <c r="M462" i="98"/>
  <c r="M464" i="98"/>
  <c r="M457" i="98"/>
  <c r="M459" i="98"/>
  <c r="M461" i="98"/>
  <c r="M463" i="98"/>
  <c r="M465" i="98"/>
  <c r="B176" i="98"/>
  <c r="B336" i="98" s="1"/>
  <c r="B166" i="98"/>
  <c r="G20" i="51"/>
  <c r="J46" i="98" l="1"/>
  <c r="K46" i="98"/>
  <c r="A46" i="98"/>
  <c r="J36" i="98"/>
  <c r="K36" i="98"/>
  <c r="A36" i="98"/>
  <c r="A16" i="98"/>
  <c r="A6" i="98"/>
  <c r="A196" i="98" l="1"/>
  <c r="A356" i="98" s="1"/>
  <c r="D2" i="109"/>
  <c r="D15" i="109" s="1"/>
  <c r="D28" i="109" s="1"/>
  <c r="A206" i="98"/>
  <c r="A366" i="98" s="1"/>
  <c r="F2" i="109"/>
  <c r="F15" i="109" s="1"/>
  <c r="F28" i="109" s="1"/>
  <c r="A176" i="98"/>
  <c r="A336" i="98" s="1"/>
  <c r="C2" i="109"/>
  <c r="C15" i="109" s="1"/>
  <c r="C28" i="109" s="1"/>
  <c r="A166" i="98"/>
  <c r="A326" i="98" s="1"/>
  <c r="B2" i="109"/>
  <c r="B15" i="109" s="1"/>
  <c r="B28" i="109" s="1"/>
  <c r="O36" i="98"/>
  <c r="O46" i="98"/>
  <c r="O210" i="98"/>
  <c r="O370" i="98" s="1"/>
  <c r="O215" i="98"/>
  <c r="O375" i="98" s="1"/>
  <c r="O212" i="98"/>
  <c r="O372" i="98" s="1"/>
  <c r="O214" i="98"/>
  <c r="O374" i="98" s="1"/>
  <c r="O209" i="98"/>
  <c r="O369" i="98" s="1"/>
  <c r="O197" i="98"/>
  <c r="O213" i="98"/>
  <c r="O373" i="98" s="1"/>
  <c r="O211" i="98"/>
  <c r="O371" i="98" s="1"/>
  <c r="O208" i="98"/>
  <c r="O368" i="98" s="1"/>
  <c r="O207" i="98"/>
  <c r="O367" i="98" s="1"/>
  <c r="T46" i="98" l="1"/>
  <c r="V156" i="98" s="1"/>
  <c r="O489" i="98"/>
  <c r="O206" i="98"/>
  <c r="O357" i="98"/>
  <c r="O356" i="98" s="1"/>
  <c r="O196" i="98"/>
  <c r="O366" i="98"/>
  <c r="A4" i="86" l="1"/>
  <c r="A7" i="87" s="1"/>
  <c r="A8" i="86"/>
  <c r="A11" i="87" s="1"/>
  <c r="A7" i="86"/>
  <c r="A10" i="87" s="1"/>
  <c r="A5" i="86"/>
  <c r="A8" i="87" s="1"/>
  <c r="A11" i="95" l="1"/>
  <c r="A4" i="93"/>
  <c r="A4" i="90" s="1"/>
  <c r="A7" i="97" s="1"/>
  <c r="A7" i="93"/>
  <c r="A7" i="90" s="1"/>
  <c r="A10" i="97" s="1"/>
  <c r="A19" i="87"/>
  <c r="A11" i="94"/>
  <c r="A11" i="96" s="1"/>
  <c r="A19" i="97" s="1"/>
  <c r="A7" i="95"/>
  <c r="A8" i="95"/>
  <c r="A12" i="87"/>
  <c r="A4" i="94"/>
  <c r="A4" i="96" s="1"/>
  <c r="A12" i="97" s="1"/>
  <c r="A17" i="87"/>
  <c r="A9" i="94"/>
  <c r="A9" i="96" s="1"/>
  <c r="A17" i="97" s="1"/>
  <c r="A13" i="87"/>
  <c r="A5" i="94"/>
  <c r="A5" i="96" s="1"/>
  <c r="A13" i="97" s="1"/>
  <c r="A8" i="93"/>
  <c r="A8" i="90" s="1"/>
  <c r="A11" i="97" s="1"/>
  <c r="A16" i="87"/>
  <c r="A8" i="94"/>
  <c r="A8" i="96" s="1"/>
  <c r="A16" i="97" s="1"/>
  <c r="A20" i="95"/>
  <c r="A20" i="87"/>
  <c r="A12" i="94"/>
  <c r="A12" i="96" s="1"/>
  <c r="A20" i="97" s="1"/>
  <c r="A5" i="93"/>
  <c r="A5" i="90" s="1"/>
  <c r="A8" i="97" s="1"/>
  <c r="A10" i="95"/>
  <c r="A18" i="87"/>
  <c r="A10" i="94"/>
  <c r="A10" i="96" s="1"/>
  <c r="A18" i="97" s="1"/>
  <c r="P136" i="98"/>
  <c r="O177" i="98"/>
  <c r="O176" i="98" l="1"/>
  <c r="O337" i="98"/>
  <c r="O336" i="98" s="1"/>
  <c r="O327" i="98"/>
  <c r="O326" i="98" s="1"/>
  <c r="P76" i="98"/>
  <c r="O166" i="98" l="1"/>
  <c r="F4" i="88" l="1"/>
  <c r="I4" i="88" s="1"/>
  <c r="E4" i="88"/>
  <c r="H4" i="88" s="1"/>
  <c r="E3" i="88"/>
  <c r="C4" i="88"/>
  <c r="B4" i="88"/>
  <c r="B14" i="88" l="1"/>
  <c r="F6" i="88"/>
  <c r="E6" i="88" l="1"/>
  <c r="E7" i="88"/>
  <c r="F5" i="88"/>
  <c r="L6" i="3" l="1"/>
  <c r="M6" i="3" s="1"/>
  <c r="P6" i="3"/>
  <c r="L7" i="3"/>
  <c r="M7" i="3" s="1"/>
  <c r="I7" i="3"/>
  <c r="J7" i="3" s="1"/>
  <c r="O7" i="3"/>
  <c r="P7" i="3" s="1"/>
  <c r="K37" i="39"/>
  <c r="J40" i="39" s="1"/>
  <c r="J44" i="39" s="1"/>
  <c r="Q6" i="3" l="1"/>
  <c r="K39" i="39"/>
  <c r="B2" i="11"/>
  <c r="K40" i="39" l="1"/>
  <c r="J43" i="39"/>
  <c r="M3" i="2"/>
  <c r="I3" i="2"/>
  <c r="K3" i="2"/>
  <c r="K6" i="2" s="1"/>
  <c r="B2" i="6"/>
  <c r="B2" i="8"/>
  <c r="B2" i="9"/>
  <c r="B2" i="13" s="1"/>
  <c r="B2" i="14" s="1"/>
  <c r="B3" i="16" s="1"/>
  <c r="B2" i="110" s="1"/>
  <c r="B2" i="12"/>
  <c r="B2" i="10"/>
  <c r="J19" i="81" l="1"/>
  <c r="J27" i="81"/>
  <c r="J25" i="81"/>
  <c r="J21" i="81"/>
  <c r="J20" i="81"/>
  <c r="I26" i="2"/>
  <c r="I28" i="2"/>
  <c r="K26" i="2"/>
  <c r="K28" i="2"/>
  <c r="I21" i="2"/>
  <c r="I22" i="2"/>
  <c r="K21" i="2"/>
  <c r="K22" i="2"/>
  <c r="J14" i="81"/>
  <c r="L14" i="81" s="1"/>
  <c r="J22" i="81"/>
  <c r="P22" i="81" s="1"/>
  <c r="J23" i="81"/>
  <c r="P23" i="81" s="1"/>
  <c r="J16" i="81"/>
  <c r="P16" i="81" s="1"/>
  <c r="J26" i="81"/>
  <c r="L26" i="81" s="1"/>
  <c r="J28" i="81"/>
  <c r="L28" i="81" s="1"/>
  <c r="J15" i="81"/>
  <c r="L15" i="81" s="1"/>
  <c r="J24" i="81"/>
  <c r="L24" i="81" s="1"/>
  <c r="J17" i="81"/>
  <c r="P17" i="81" s="1"/>
  <c r="J18" i="81"/>
  <c r="P18" i="81" s="1"/>
  <c r="I6" i="2"/>
  <c r="N6" i="2" s="1"/>
  <c r="I18" i="2"/>
  <c r="I19" i="2"/>
  <c r="I24" i="2"/>
  <c r="I27" i="2"/>
  <c r="I20" i="2"/>
  <c r="I16" i="2"/>
  <c r="I25" i="2"/>
  <c r="I15" i="2"/>
  <c r="I23" i="2"/>
  <c r="I29" i="2"/>
  <c r="I17" i="2"/>
  <c r="L19" i="81"/>
  <c r="P19" i="81"/>
  <c r="K10" i="2"/>
  <c r="K14" i="2"/>
  <c r="K9" i="2"/>
  <c r="K7" i="2"/>
  <c r="K11" i="2"/>
  <c r="K8" i="2"/>
  <c r="K12" i="2"/>
  <c r="K13" i="2"/>
  <c r="I8" i="2"/>
  <c r="I12" i="2"/>
  <c r="I7" i="2"/>
  <c r="I9" i="2"/>
  <c r="I13" i="2"/>
  <c r="I11" i="2"/>
  <c r="I10" i="2"/>
  <c r="I14" i="2"/>
  <c r="B8" i="85"/>
  <c r="J6" i="81"/>
  <c r="J10" i="81"/>
  <c r="J7" i="81"/>
  <c r="J5" i="81"/>
  <c r="J11" i="81"/>
  <c r="J8" i="81"/>
  <c r="J12" i="81"/>
  <c r="J9" i="81"/>
  <c r="J13" i="81"/>
  <c r="L3" i="2"/>
  <c r="J3" i="2"/>
  <c r="J6" i="2" s="1"/>
  <c r="B2" i="51"/>
  <c r="B2" i="17"/>
  <c r="N21" i="81" l="1"/>
  <c r="L21" i="81"/>
  <c r="P21" i="81"/>
  <c r="N27" i="81"/>
  <c r="L27" i="81"/>
  <c r="P27" i="81"/>
  <c r="L20" i="81"/>
  <c r="P20" i="81"/>
  <c r="N20" i="81"/>
  <c r="L25" i="81"/>
  <c r="P25" i="81"/>
  <c r="N25" i="81"/>
  <c r="J26" i="2"/>
  <c r="N26" i="2" s="1"/>
  <c r="R25" i="81" s="1"/>
  <c r="J28" i="2"/>
  <c r="N28" i="2" s="1"/>
  <c r="R27" i="81" s="1"/>
  <c r="J21" i="2"/>
  <c r="N21" i="2" s="1"/>
  <c r="R20" i="81" s="1"/>
  <c r="J22" i="2"/>
  <c r="N22" i="2" s="1"/>
  <c r="R21" i="81" s="1"/>
  <c r="N5" i="81"/>
  <c r="L5" i="81"/>
  <c r="L23" i="81"/>
  <c r="I30" i="2"/>
  <c r="O24" i="81"/>
  <c r="O18" i="81"/>
  <c r="K19" i="81"/>
  <c r="B4" i="85"/>
  <c r="B5" i="85" s="1"/>
  <c r="B6" i="85" s="1"/>
  <c r="B6" i="94" s="1"/>
  <c r="O17" i="81"/>
  <c r="O22" i="81"/>
  <c r="P26" i="81"/>
  <c r="P24" i="81"/>
  <c r="P14" i="81"/>
  <c r="K14" i="81"/>
  <c r="K23" i="81"/>
  <c r="P15" i="81"/>
  <c r="O26" i="81"/>
  <c r="L22" i="81"/>
  <c r="L16" i="81"/>
  <c r="P28" i="81"/>
  <c r="L18" i="81"/>
  <c r="L17" i="81"/>
  <c r="H27" i="2"/>
  <c r="H23" i="2"/>
  <c r="H16" i="2"/>
  <c r="H19" i="2"/>
  <c r="H15" i="2"/>
  <c r="H17" i="2"/>
  <c r="H29" i="2"/>
  <c r="H24" i="2"/>
  <c r="H25" i="2"/>
  <c r="H18" i="2"/>
  <c r="H20" i="2"/>
  <c r="J29" i="81"/>
  <c r="B11" i="85"/>
  <c r="B10" i="85"/>
  <c r="B9" i="85"/>
  <c r="J9" i="2"/>
  <c r="J13" i="2"/>
  <c r="J8" i="2"/>
  <c r="J10" i="2"/>
  <c r="J14" i="2"/>
  <c r="J7" i="2"/>
  <c r="J11" i="2"/>
  <c r="J12" i="2"/>
  <c r="H7" i="2"/>
  <c r="H11" i="2"/>
  <c r="H14" i="2"/>
  <c r="H8" i="2"/>
  <c r="H12" i="2"/>
  <c r="H9" i="2"/>
  <c r="H13" i="2"/>
  <c r="H10" i="2"/>
  <c r="N10" i="2" s="1"/>
  <c r="R9" i="81" s="1"/>
  <c r="P267" i="98"/>
  <c r="P427" i="98" s="1"/>
  <c r="P261" i="98"/>
  <c r="P269" i="98"/>
  <c r="P264" i="98"/>
  <c r="P274" i="98"/>
  <c r="P260" i="98"/>
  <c r="P259" i="98"/>
  <c r="P263" i="98"/>
  <c r="P273" i="98"/>
  <c r="P265" i="98"/>
  <c r="P272" i="98"/>
  <c r="P258" i="98"/>
  <c r="P262" i="98"/>
  <c r="P270" i="98"/>
  <c r="P275" i="98"/>
  <c r="P268" i="98"/>
  <c r="P271" i="98"/>
  <c r="M8" i="81"/>
  <c r="P96" i="98"/>
  <c r="P5" i="81"/>
  <c r="B12" i="85"/>
  <c r="B2" i="53"/>
  <c r="B2" i="21"/>
  <c r="Q27" i="81" l="1"/>
  <c r="S27" i="81"/>
  <c r="U28" i="2" s="1"/>
  <c r="AI27" i="81" s="1"/>
  <c r="AJ27" i="81" s="1"/>
  <c r="Q25" i="81"/>
  <c r="Q21" i="81"/>
  <c r="Q20" i="81"/>
  <c r="K24" i="81"/>
  <c r="K17" i="81"/>
  <c r="H30" i="2"/>
  <c r="K26" i="81"/>
  <c r="O19" i="81"/>
  <c r="K18" i="81"/>
  <c r="B7" i="85"/>
  <c r="D15" i="87" s="1"/>
  <c r="K15" i="81"/>
  <c r="O14" i="81"/>
  <c r="K22" i="81"/>
  <c r="O15" i="81"/>
  <c r="O23" i="81"/>
  <c r="K16" i="81"/>
  <c r="K28" i="81"/>
  <c r="O16" i="81"/>
  <c r="O28" i="81"/>
  <c r="I29" i="81"/>
  <c r="N13" i="2"/>
  <c r="R12" i="81" s="1"/>
  <c r="N7" i="2"/>
  <c r="R6" i="81" s="1"/>
  <c r="N11" i="2"/>
  <c r="R10" i="81" s="1"/>
  <c r="N14" i="2"/>
  <c r="R13" i="81" s="1"/>
  <c r="N9" i="2"/>
  <c r="R8" i="81" s="1"/>
  <c r="N12" i="2"/>
  <c r="R11" i="81" s="1"/>
  <c r="M5" i="81"/>
  <c r="D13" i="87"/>
  <c r="N8" i="2"/>
  <c r="R7" i="81" s="1"/>
  <c r="P266" i="98"/>
  <c r="P428" i="98"/>
  <c r="P430" i="98"/>
  <c r="P422" i="98"/>
  <c r="P418" i="98"/>
  <c r="P425" i="98"/>
  <c r="P423" i="98"/>
  <c r="P434" i="98"/>
  <c r="P421" i="98"/>
  <c r="P431" i="98"/>
  <c r="P435" i="98"/>
  <c r="P432" i="98"/>
  <c r="P433" i="98"/>
  <c r="P419" i="98"/>
  <c r="P420" i="98"/>
  <c r="P424" i="98"/>
  <c r="P429" i="98"/>
  <c r="P219" i="98"/>
  <c r="P319" i="98" s="1"/>
  <c r="P218" i="98"/>
  <c r="P318" i="98" s="1"/>
  <c r="P225" i="98"/>
  <c r="P325" i="98" s="1"/>
  <c r="O5" i="81"/>
  <c r="P220" i="98"/>
  <c r="P320" i="98" s="1"/>
  <c r="P222" i="98"/>
  <c r="P322" i="98" s="1"/>
  <c r="P221" i="98"/>
  <c r="P321" i="98" s="1"/>
  <c r="P217" i="98"/>
  <c r="P317" i="98" s="1"/>
  <c r="P56" i="98"/>
  <c r="P223" i="98"/>
  <c r="P323" i="98" s="1"/>
  <c r="P224" i="98"/>
  <c r="P324" i="98" s="1"/>
  <c r="P417" i="98"/>
  <c r="P256" i="98"/>
  <c r="B3" i="15"/>
  <c r="B3" i="18"/>
  <c r="R5" i="81" l="1"/>
  <c r="S25" i="81"/>
  <c r="U26" i="2" s="1"/>
  <c r="AI25" i="81" s="1"/>
  <c r="AJ25" i="81" s="1"/>
  <c r="S21" i="81"/>
  <c r="U22" i="2" s="1"/>
  <c r="AI21" i="81" s="1"/>
  <c r="AJ21" i="81" s="1"/>
  <c r="S20" i="81"/>
  <c r="U21" i="2" s="1"/>
  <c r="AI20" i="81" s="1"/>
  <c r="AJ20" i="81" s="1"/>
  <c r="Q5" i="81"/>
  <c r="S5" i="81" s="1"/>
  <c r="B7" i="94"/>
  <c r="B7" i="96" s="1"/>
  <c r="D86" i="98"/>
  <c r="D87" i="98" s="1"/>
  <c r="D88" i="98" s="1"/>
  <c r="D89" i="98" s="1"/>
  <c r="D90" i="98" s="1"/>
  <c r="D91" i="98" s="1"/>
  <c r="D92" i="98" s="1"/>
  <c r="D93" i="98" s="1"/>
  <c r="D94" i="98" s="1"/>
  <c r="D95" i="98" s="1"/>
  <c r="P316" i="98"/>
  <c r="D14" i="87"/>
  <c r="P384" i="98"/>
  <c r="P484" i="98" s="1"/>
  <c r="P382" i="98"/>
  <c r="P482" i="98" s="1"/>
  <c r="P426" i="98"/>
  <c r="P379" i="98"/>
  <c r="P479" i="98" s="1"/>
  <c r="P383" i="98"/>
  <c r="P483" i="98" s="1"/>
  <c r="P378" i="98"/>
  <c r="P478" i="98" s="1"/>
  <c r="P416" i="98"/>
  <c r="P381" i="98"/>
  <c r="P481" i="98" s="1"/>
  <c r="P380" i="98"/>
  <c r="P480" i="98" s="1"/>
  <c r="P385" i="98"/>
  <c r="P485" i="98" s="1"/>
  <c r="P216" i="98"/>
  <c r="P377" i="98"/>
  <c r="P477" i="98" s="1"/>
  <c r="B7" i="35"/>
  <c r="B2" i="33"/>
  <c r="B8" i="3"/>
  <c r="F8" i="88"/>
  <c r="F9" i="88"/>
  <c r="F10" i="88"/>
  <c r="F11" i="88"/>
  <c r="F12" i="88"/>
  <c r="B10" i="3"/>
  <c r="B12" i="3"/>
  <c r="B13" i="3"/>
  <c r="O4" i="100"/>
  <c r="D15" i="95" l="1"/>
  <c r="D246" i="98"/>
  <c r="D247" i="98" s="1"/>
  <c r="D15" i="97"/>
  <c r="P476" i="98"/>
  <c r="D66" i="98"/>
  <c r="B6" i="96"/>
  <c r="D14" i="95"/>
  <c r="B9" i="3"/>
  <c r="B9" i="8" s="1"/>
  <c r="P13" i="100"/>
  <c r="P14" i="100" s="1"/>
  <c r="B11" i="3"/>
  <c r="O277" i="98"/>
  <c r="O276" i="98" s="1"/>
  <c r="N11" i="81"/>
  <c r="N9" i="81"/>
  <c r="N6" i="81"/>
  <c r="P9" i="81"/>
  <c r="N8" i="81"/>
  <c r="O8" i="81"/>
  <c r="O12" i="81"/>
  <c r="O7" i="81"/>
  <c r="N10" i="81"/>
  <c r="J13" i="88"/>
  <c r="O11" i="81"/>
  <c r="N12" i="81"/>
  <c r="B12" i="8"/>
  <c r="E11" i="88"/>
  <c r="E8" i="88"/>
  <c r="E9" i="88"/>
  <c r="E10" i="88"/>
  <c r="F7" i="88"/>
  <c r="F14" i="88" s="1"/>
  <c r="B13" i="8"/>
  <c r="E12" i="88"/>
  <c r="B22" i="34"/>
  <c r="P13" i="81"/>
  <c r="B6" i="8"/>
  <c r="B7" i="8"/>
  <c r="D406" i="98" l="1"/>
  <c r="D407" i="98" s="1"/>
  <c r="D248" i="98"/>
  <c r="O6" i="8"/>
  <c r="P6" i="8" s="1"/>
  <c r="O7" i="8"/>
  <c r="Q7" i="8" s="1"/>
  <c r="O9" i="8"/>
  <c r="Q9" i="8" s="1"/>
  <c r="B11" i="8"/>
  <c r="B11" i="6" s="1"/>
  <c r="D226" i="98"/>
  <c r="D14" i="97"/>
  <c r="D70" i="98"/>
  <c r="D74" i="98"/>
  <c r="D71" i="98"/>
  <c r="D75" i="98"/>
  <c r="D68" i="98"/>
  <c r="D72" i="98"/>
  <c r="D69" i="98"/>
  <c r="D73" i="98"/>
  <c r="D67" i="98"/>
  <c r="I13" i="36"/>
  <c r="O457" i="98"/>
  <c r="O296" i="98"/>
  <c r="E14" i="88"/>
  <c r="P7" i="81"/>
  <c r="N13" i="81"/>
  <c r="O237" i="98"/>
  <c r="O9" i="81"/>
  <c r="O13" i="81"/>
  <c r="P11" i="81"/>
  <c r="O6" i="81"/>
  <c r="P12" i="81"/>
  <c r="O10" i="81"/>
  <c r="P8" i="81"/>
  <c r="P10" i="81"/>
  <c r="P6" i="81"/>
  <c r="N7" i="81"/>
  <c r="L9" i="81"/>
  <c r="L6" i="81"/>
  <c r="L12" i="81"/>
  <c r="O13" i="3"/>
  <c r="P13" i="3" s="1"/>
  <c r="L13" i="3"/>
  <c r="M13" i="3" s="1"/>
  <c r="O8" i="3"/>
  <c r="P8" i="3" s="1"/>
  <c r="L8" i="3"/>
  <c r="M8" i="3" s="1"/>
  <c r="B15" i="3"/>
  <c r="L11" i="3"/>
  <c r="M11" i="3" s="1"/>
  <c r="E11" i="3"/>
  <c r="F11" i="3" s="1"/>
  <c r="O11" i="3"/>
  <c r="P11" i="3" s="1"/>
  <c r="L10" i="3"/>
  <c r="M10" i="3" s="1"/>
  <c r="O10" i="3"/>
  <c r="P10" i="3" s="1"/>
  <c r="O9" i="3"/>
  <c r="P9" i="3" s="1"/>
  <c r="L9" i="3"/>
  <c r="M9" i="3" s="1"/>
  <c r="L12" i="3"/>
  <c r="M12" i="3" s="1"/>
  <c r="O12" i="3"/>
  <c r="P12" i="3" s="1"/>
  <c r="B8" i="8"/>
  <c r="B10" i="8"/>
  <c r="B7" i="6"/>
  <c r="B6" i="6"/>
  <c r="B12" i="6"/>
  <c r="B9" i="6"/>
  <c r="B13" i="6"/>
  <c r="B14" i="8"/>
  <c r="M10" i="81"/>
  <c r="M7" i="81"/>
  <c r="M12" i="81"/>
  <c r="M11" i="81"/>
  <c r="M9" i="81"/>
  <c r="M13" i="81"/>
  <c r="M6" i="81"/>
  <c r="R6" i="8" l="1"/>
  <c r="Q6" i="8"/>
  <c r="P29" i="81"/>
  <c r="O29" i="81"/>
  <c r="D249" i="98"/>
  <c r="D408" i="98"/>
  <c r="O6" i="6"/>
  <c r="Q6" i="6" s="1"/>
  <c r="R9" i="8"/>
  <c r="P7" i="8"/>
  <c r="E6" i="102" s="1"/>
  <c r="O13" i="6"/>
  <c r="R13" i="6" s="1"/>
  <c r="R7" i="8"/>
  <c r="O7" i="6"/>
  <c r="Q7" i="6" s="1"/>
  <c r="O9" i="6"/>
  <c r="P9" i="6" s="1"/>
  <c r="C8" i="102" s="1"/>
  <c r="O10" i="8"/>
  <c r="P10" i="8" s="1"/>
  <c r="E9" i="102" s="1"/>
  <c r="P9" i="8"/>
  <c r="E8" i="102" s="1"/>
  <c r="E5" i="102"/>
  <c r="O11" i="6"/>
  <c r="P11" i="6" s="1"/>
  <c r="C10" i="102" s="1"/>
  <c r="O12" i="6"/>
  <c r="Q12" i="6" s="1"/>
  <c r="O8" i="8"/>
  <c r="R8" i="8" s="1"/>
  <c r="D229" i="98"/>
  <c r="D235" i="98"/>
  <c r="D228" i="98"/>
  <c r="D234" i="98"/>
  <c r="D231" i="98"/>
  <c r="D230" i="98"/>
  <c r="D227" i="98"/>
  <c r="D232" i="98"/>
  <c r="D233" i="98"/>
  <c r="D386" i="98"/>
  <c r="I23" i="37"/>
  <c r="O456" i="98"/>
  <c r="O397" i="98"/>
  <c r="O236" i="98"/>
  <c r="K11" i="81"/>
  <c r="K13" i="81"/>
  <c r="K9" i="81"/>
  <c r="Q9" i="81" s="1"/>
  <c r="L7" i="81"/>
  <c r="L10" i="81"/>
  <c r="K12" i="81"/>
  <c r="Q12" i="81" s="1"/>
  <c r="K6" i="81"/>
  <c r="K8" i="81"/>
  <c r="L13" i="81"/>
  <c r="K7" i="81"/>
  <c r="L11" i="81"/>
  <c r="K10" i="81"/>
  <c r="L8" i="81"/>
  <c r="B15" i="8"/>
  <c r="B8" i="6"/>
  <c r="B10" i="6"/>
  <c r="B11" i="9"/>
  <c r="M7" i="98"/>
  <c r="M167" i="98" s="1"/>
  <c r="M10" i="98"/>
  <c r="M11" i="98"/>
  <c r="M12" i="98"/>
  <c r="M13" i="98"/>
  <c r="M15" i="98"/>
  <c r="M9" i="98"/>
  <c r="M14" i="98"/>
  <c r="M8" i="98"/>
  <c r="B13" i="9"/>
  <c r="O13" i="9" s="1"/>
  <c r="B9" i="9"/>
  <c r="B12" i="9"/>
  <c r="O12" i="9" s="1"/>
  <c r="B6" i="9"/>
  <c r="B7" i="9"/>
  <c r="M372" i="98"/>
  <c r="M41" i="98"/>
  <c r="M21" i="98"/>
  <c r="M42" i="98"/>
  <c r="M374" i="98"/>
  <c r="M22" i="98"/>
  <c r="M18" i="98"/>
  <c r="M38" i="98"/>
  <c r="M368" i="98"/>
  <c r="M24" i="98"/>
  <c r="M44" i="98"/>
  <c r="M37" i="98"/>
  <c r="M197" i="98" s="1"/>
  <c r="M357" i="98" s="1"/>
  <c r="M17" i="98"/>
  <c r="M177" i="98" s="1"/>
  <c r="M337" i="98" s="1"/>
  <c r="M45" i="98"/>
  <c r="M25" i="98"/>
  <c r="M370" i="98"/>
  <c r="M371" i="98"/>
  <c r="M40" i="98"/>
  <c r="M373" i="98"/>
  <c r="M369" i="98"/>
  <c r="M39" i="98"/>
  <c r="M19" i="98"/>
  <c r="M43" i="98"/>
  <c r="M23" i="98"/>
  <c r="B14" i="6"/>
  <c r="O267" i="98"/>
  <c r="O217" i="98"/>
  <c r="J19" i="37"/>
  <c r="K19" i="37" s="1"/>
  <c r="J18" i="37"/>
  <c r="K18" i="37" s="1"/>
  <c r="S12" i="81" l="1"/>
  <c r="S9" i="81"/>
  <c r="L29" i="81"/>
  <c r="Q6" i="81"/>
  <c r="K29" i="81"/>
  <c r="D409" i="98"/>
  <c r="D250" i="98"/>
  <c r="P6" i="6"/>
  <c r="C5" i="102" s="1"/>
  <c r="M327" i="98"/>
  <c r="Q11" i="6"/>
  <c r="P7" i="6"/>
  <c r="C6" i="102" s="1"/>
  <c r="R6" i="6"/>
  <c r="Q9" i="6"/>
  <c r="Q13" i="6"/>
  <c r="R7" i="6"/>
  <c r="O6" i="9"/>
  <c r="P6" i="9" s="1"/>
  <c r="F5" i="102" s="1"/>
  <c r="P12" i="6"/>
  <c r="C11" i="102" s="1"/>
  <c r="R12" i="6"/>
  <c r="R11" i="6"/>
  <c r="R9" i="6"/>
  <c r="P13" i="6"/>
  <c r="C12" i="102" s="1"/>
  <c r="Q10" i="8"/>
  <c r="R10" i="8"/>
  <c r="O11" i="9"/>
  <c r="P11" i="9" s="1"/>
  <c r="F10" i="102" s="1"/>
  <c r="O9" i="9"/>
  <c r="Q9" i="9" s="1"/>
  <c r="P8" i="8"/>
  <c r="E7" i="102" s="1"/>
  <c r="Q8" i="8"/>
  <c r="O14" i="6"/>
  <c r="R14" i="6" s="1"/>
  <c r="O7" i="9"/>
  <c r="P7" i="9" s="1"/>
  <c r="F6" i="102" s="1"/>
  <c r="P13" i="9"/>
  <c r="F12" i="102" s="1"/>
  <c r="Q13" i="9"/>
  <c r="R13" i="9"/>
  <c r="Q12" i="9"/>
  <c r="R12" i="9"/>
  <c r="P12" i="9"/>
  <c r="F11" i="102" s="1"/>
  <c r="Q11" i="81"/>
  <c r="Q7" i="81"/>
  <c r="Q13" i="81"/>
  <c r="Q10" i="81"/>
  <c r="Q8" i="81"/>
  <c r="D388" i="98"/>
  <c r="D392" i="98"/>
  <c r="D389" i="98"/>
  <c r="D393" i="98"/>
  <c r="D387" i="98"/>
  <c r="D390" i="98"/>
  <c r="D394" i="98"/>
  <c r="D391" i="98"/>
  <c r="D395" i="98"/>
  <c r="M205" i="98"/>
  <c r="M365" i="98" s="1"/>
  <c r="M203" i="98"/>
  <c r="M363" i="98" s="1"/>
  <c r="M204" i="98"/>
  <c r="M364" i="98" s="1"/>
  <c r="M198" i="98"/>
  <c r="M358" i="98" s="1"/>
  <c r="M202" i="98"/>
  <c r="M362" i="98" s="1"/>
  <c r="M199" i="98"/>
  <c r="M359" i="98" s="1"/>
  <c r="M200" i="98"/>
  <c r="M360" i="98" s="1"/>
  <c r="M201" i="98"/>
  <c r="M361" i="98" s="1"/>
  <c r="M184" i="98"/>
  <c r="M344" i="98" s="1"/>
  <c r="M182" i="98"/>
  <c r="M342" i="98" s="1"/>
  <c r="M181" i="98"/>
  <c r="M341" i="98" s="1"/>
  <c r="M179" i="98"/>
  <c r="M339" i="98" s="1"/>
  <c r="M183" i="98"/>
  <c r="M343" i="98" s="1"/>
  <c r="M178" i="98"/>
  <c r="M338" i="98" s="1"/>
  <c r="M185" i="98"/>
  <c r="M345" i="98" s="1"/>
  <c r="M174" i="98"/>
  <c r="M334" i="98" s="1"/>
  <c r="M173" i="98"/>
  <c r="M333" i="98" s="1"/>
  <c r="M170" i="98"/>
  <c r="M330" i="98" s="1"/>
  <c r="M172" i="98"/>
  <c r="M332" i="98" s="1"/>
  <c r="M169" i="98"/>
  <c r="M329" i="98" s="1"/>
  <c r="M168" i="98"/>
  <c r="M328" i="98" s="1"/>
  <c r="M175" i="98"/>
  <c r="M335" i="98" s="1"/>
  <c r="M171" i="98"/>
  <c r="M331" i="98" s="1"/>
  <c r="O8" i="6"/>
  <c r="R8" i="6" s="1"/>
  <c r="B19" i="6"/>
  <c r="B20" i="6" s="1"/>
  <c r="B8" i="9"/>
  <c r="B8" i="13" s="1"/>
  <c r="B10" i="9"/>
  <c r="O10" i="6"/>
  <c r="Q10" i="6" s="1"/>
  <c r="O396" i="98"/>
  <c r="E15" i="107"/>
  <c r="U3" i="109"/>
  <c r="O266" i="98"/>
  <c r="O216" i="98"/>
  <c r="O377" i="98"/>
  <c r="O257" i="98"/>
  <c r="D18" i="38"/>
  <c r="D23" i="38"/>
  <c r="D20" i="38"/>
  <c r="D21" i="38"/>
  <c r="D25" i="38"/>
  <c r="B15" i="6"/>
  <c r="K21" i="37"/>
  <c r="K22" i="37" s="1"/>
  <c r="B7" i="10"/>
  <c r="B7" i="13"/>
  <c r="B12" i="10"/>
  <c r="O12" i="10" s="1"/>
  <c r="B12" i="13"/>
  <c r="B9" i="10"/>
  <c r="B9" i="13"/>
  <c r="B13" i="10"/>
  <c r="O13" i="10" s="1"/>
  <c r="B13" i="13"/>
  <c r="B11" i="10"/>
  <c r="B11" i="13"/>
  <c r="B6" i="10"/>
  <c r="B6" i="13"/>
  <c r="M367" i="98"/>
  <c r="B14" i="9"/>
  <c r="P106" i="98"/>
  <c r="U10" i="2" l="1"/>
  <c r="AI9" i="81" s="1"/>
  <c r="AJ9" i="81" s="1"/>
  <c r="U13" i="2"/>
  <c r="AI12" i="81" s="1"/>
  <c r="AJ12" i="81" s="1"/>
  <c r="S8" i="81"/>
  <c r="S13" i="81"/>
  <c r="S11" i="81"/>
  <c r="S6" i="81"/>
  <c r="S10" i="81"/>
  <c r="S7" i="81"/>
  <c r="F49" i="37"/>
  <c r="F43" i="37"/>
  <c r="F47" i="37"/>
  <c r="F42" i="37"/>
  <c r="O6" i="10"/>
  <c r="P6" i="10" s="1"/>
  <c r="G5" i="102" s="1"/>
  <c r="D251" i="98"/>
  <c r="M6" i="13"/>
  <c r="O6" i="13" s="1"/>
  <c r="N6" i="13"/>
  <c r="D410" i="98"/>
  <c r="Q14" i="6"/>
  <c r="Q8" i="6"/>
  <c r="Q6" i="9"/>
  <c r="M8" i="13"/>
  <c r="P8" i="13" s="1"/>
  <c r="M7" i="13"/>
  <c r="O7" i="13" s="1"/>
  <c r="M11" i="13"/>
  <c r="O11" i="13" s="1"/>
  <c r="M9" i="13"/>
  <c r="P9" i="13" s="1"/>
  <c r="M13" i="13"/>
  <c r="P13" i="13" s="1"/>
  <c r="M12" i="13"/>
  <c r="P12" i="13" s="1"/>
  <c r="R6" i="9"/>
  <c r="R11" i="9"/>
  <c r="R7" i="9"/>
  <c r="Q7" i="9"/>
  <c r="P14" i="6"/>
  <c r="C13" i="102" s="1"/>
  <c r="O11" i="10"/>
  <c r="R11" i="10" s="1"/>
  <c r="B8" i="14"/>
  <c r="E8" i="14" s="1"/>
  <c r="P8" i="6"/>
  <c r="C7" i="102" s="1"/>
  <c r="P10" i="6"/>
  <c r="C9" i="102" s="1"/>
  <c r="P9" i="9"/>
  <c r="F8" i="102" s="1"/>
  <c r="Q11" i="9"/>
  <c r="R10" i="6"/>
  <c r="O9" i="10"/>
  <c r="R9" i="10" s="1"/>
  <c r="O10" i="9"/>
  <c r="Q10" i="9" s="1"/>
  <c r="R9" i="9"/>
  <c r="O7" i="10"/>
  <c r="P7" i="10" s="1"/>
  <c r="G6" i="102" s="1"/>
  <c r="O8" i="9"/>
  <c r="P8" i="9" s="1"/>
  <c r="F7" i="102" s="1"/>
  <c r="R13" i="10"/>
  <c r="P13" i="10"/>
  <c r="G12" i="102" s="1"/>
  <c r="Q13" i="10"/>
  <c r="R12" i="10"/>
  <c r="P12" i="10"/>
  <c r="G11" i="102" s="1"/>
  <c r="Q12" i="10"/>
  <c r="D24" i="38"/>
  <c r="D19" i="38"/>
  <c r="D22" i="38"/>
  <c r="B10" i="10"/>
  <c r="B6" i="12"/>
  <c r="O6" i="12" s="1"/>
  <c r="P6" i="12" s="1"/>
  <c r="B8" i="10"/>
  <c r="B10" i="13"/>
  <c r="B13" i="14" s="1"/>
  <c r="O13" i="14" s="1"/>
  <c r="B15" i="9"/>
  <c r="O14" i="9"/>
  <c r="O256" i="98"/>
  <c r="S296" i="98" s="1"/>
  <c r="B26" i="36"/>
  <c r="C26" i="36"/>
  <c r="B7" i="16"/>
  <c r="B14" i="14"/>
  <c r="B10" i="16"/>
  <c r="B12" i="16"/>
  <c r="B16" i="14"/>
  <c r="B6" i="14"/>
  <c r="E6" i="14" s="1"/>
  <c r="B6" i="16"/>
  <c r="B5" i="16"/>
  <c r="B3" i="110" s="1"/>
  <c r="B4" i="14"/>
  <c r="B11" i="14"/>
  <c r="E11" i="14" s="1"/>
  <c r="B8" i="16"/>
  <c r="B15" i="14"/>
  <c r="O15" i="14" s="1"/>
  <c r="B11" i="16"/>
  <c r="P376" i="98"/>
  <c r="B14" i="13"/>
  <c r="B14" i="10"/>
  <c r="C4" i="35"/>
  <c r="U12" i="2" l="1"/>
  <c r="AI11" i="81" s="1"/>
  <c r="AJ11" i="81" s="1"/>
  <c r="U9" i="2"/>
  <c r="AI8" i="81" s="1"/>
  <c r="AJ8" i="81" s="1"/>
  <c r="U8" i="2"/>
  <c r="AI7" i="81" s="1"/>
  <c r="AJ7" i="81" s="1"/>
  <c r="U11" i="2"/>
  <c r="AI10" i="81" s="1"/>
  <c r="AJ10" i="81" s="1"/>
  <c r="U14" i="2"/>
  <c r="AI13" i="81" s="1"/>
  <c r="AJ13" i="81" s="1"/>
  <c r="P6" i="13"/>
  <c r="D252" i="98"/>
  <c r="D411" i="98"/>
  <c r="B6" i="33"/>
  <c r="B11" i="110"/>
  <c r="D11" i="110" s="1"/>
  <c r="D3" i="110"/>
  <c r="B11" i="33"/>
  <c r="B24" i="110"/>
  <c r="D24" i="110" s="1"/>
  <c r="B10" i="33"/>
  <c r="B23" i="110"/>
  <c r="D23" i="110" s="1"/>
  <c r="B7" i="33"/>
  <c r="B16" i="110"/>
  <c r="D16" i="110" s="1"/>
  <c r="B5" i="33"/>
  <c r="B7" i="110"/>
  <c r="D7" i="110" s="1"/>
  <c r="B9" i="33"/>
  <c r="B21" i="110"/>
  <c r="D21" i="110" s="1"/>
  <c r="O13" i="13"/>
  <c r="N9" i="13"/>
  <c r="J8" i="102" s="1"/>
  <c r="J5" i="102"/>
  <c r="P11" i="13"/>
  <c r="O9" i="13"/>
  <c r="O12" i="13"/>
  <c r="N13" i="13"/>
  <c r="J12" i="102" s="1"/>
  <c r="O8" i="13"/>
  <c r="N12" i="13"/>
  <c r="J11" i="102" s="1"/>
  <c r="N7" i="13"/>
  <c r="J6" i="102" s="1"/>
  <c r="N8" i="13"/>
  <c r="J7" i="102" s="1"/>
  <c r="M14" i="13"/>
  <c r="O14" i="13" s="1"/>
  <c r="M10" i="13"/>
  <c r="O10" i="13" s="1"/>
  <c r="N11" i="13"/>
  <c r="J10" i="102" s="1"/>
  <c r="P7" i="13"/>
  <c r="O8" i="14"/>
  <c r="B15" i="13"/>
  <c r="O4" i="14"/>
  <c r="Q11" i="10"/>
  <c r="Q9" i="10"/>
  <c r="Q7" i="10"/>
  <c r="R7" i="10"/>
  <c r="P9" i="10"/>
  <c r="G8" i="102" s="1"/>
  <c r="P11" i="10"/>
  <c r="G10" i="102" s="1"/>
  <c r="R10" i="9"/>
  <c r="P10" i="9"/>
  <c r="F9" i="102" s="1"/>
  <c r="Q8" i="9"/>
  <c r="R8" i="9"/>
  <c r="O14" i="14"/>
  <c r="E14" i="14"/>
  <c r="B6" i="11"/>
  <c r="R6" i="12"/>
  <c r="H5" i="102"/>
  <c r="Q6" i="12"/>
  <c r="Q6" i="10"/>
  <c r="R6" i="10"/>
  <c r="B8" i="12"/>
  <c r="B9" i="12"/>
  <c r="B9" i="11" s="1"/>
  <c r="R14" i="9"/>
  <c r="P14" i="9"/>
  <c r="F13" i="102" s="1"/>
  <c r="Q14" i="9"/>
  <c r="B4" i="33"/>
  <c r="E4" i="33" s="1"/>
  <c r="O11" i="14"/>
  <c r="O8" i="10"/>
  <c r="R8" i="10" s="1"/>
  <c r="B7" i="12"/>
  <c r="E16" i="14"/>
  <c r="O16" i="14"/>
  <c r="O6" i="14"/>
  <c r="B9" i="16"/>
  <c r="B15" i="10"/>
  <c r="O14" i="10"/>
  <c r="Q14" i="10" s="1"/>
  <c r="B23" i="17"/>
  <c r="D23" i="17" s="1"/>
  <c r="B3" i="17"/>
  <c r="D3" i="17" s="1"/>
  <c r="B21" i="17"/>
  <c r="D21" i="17" s="1"/>
  <c r="B7" i="17"/>
  <c r="D7" i="17" s="1"/>
  <c r="B11" i="17"/>
  <c r="D11" i="17" s="1"/>
  <c r="B16" i="17"/>
  <c r="D16" i="17" s="1"/>
  <c r="B24" i="17"/>
  <c r="D24" i="17" s="1"/>
  <c r="E13" i="14"/>
  <c r="E15" i="14"/>
  <c r="Q466" i="98"/>
  <c r="F15" i="107"/>
  <c r="B13" i="16"/>
  <c r="B17" i="14"/>
  <c r="B18" i="14" s="1"/>
  <c r="U7" i="2" l="1"/>
  <c r="D412" i="98"/>
  <c r="O6" i="11"/>
  <c r="P6" i="11" s="1"/>
  <c r="D253" i="98"/>
  <c r="B12" i="33"/>
  <c r="B27" i="110"/>
  <c r="D27" i="110" s="1"/>
  <c r="B8" i="33"/>
  <c r="B18" i="110"/>
  <c r="N14" i="13"/>
  <c r="J13" i="102" s="1"/>
  <c r="N10" i="13"/>
  <c r="J9" i="102" s="1"/>
  <c r="O9" i="12"/>
  <c r="P9" i="12" s="1"/>
  <c r="H13" i="102" s="1"/>
  <c r="P10" i="13"/>
  <c r="P14" i="13"/>
  <c r="B18" i="17"/>
  <c r="D18" i="17" s="1"/>
  <c r="P14" i="10"/>
  <c r="G13" i="102" s="1"/>
  <c r="P8" i="10"/>
  <c r="G7" i="102" s="1"/>
  <c r="B8" i="11"/>
  <c r="R14" i="10"/>
  <c r="Q8" i="10"/>
  <c r="B10" i="12"/>
  <c r="B7" i="11"/>
  <c r="Q306" i="98"/>
  <c r="R306" i="98" s="1"/>
  <c r="B18" i="51"/>
  <c r="E18" i="51" s="1"/>
  <c r="B14" i="51"/>
  <c r="E14" i="51" s="1"/>
  <c r="B17" i="51"/>
  <c r="E17" i="51" s="1"/>
  <c r="B9" i="51"/>
  <c r="E9" i="51" s="1"/>
  <c r="B16" i="51"/>
  <c r="E16" i="51" s="1"/>
  <c r="B5" i="51"/>
  <c r="E5" i="51" s="1"/>
  <c r="B3" i="51"/>
  <c r="E3" i="51" s="1"/>
  <c r="B14" i="16"/>
  <c r="E17" i="14"/>
  <c r="O17" i="14"/>
  <c r="O18" i="14" s="1"/>
  <c r="B27" i="17"/>
  <c r="D27" i="17" s="1"/>
  <c r="D28" i="17" s="1"/>
  <c r="G29" i="17" s="1"/>
  <c r="R10" i="86" s="1"/>
  <c r="AI6" i="81" l="1"/>
  <c r="D254" i="98"/>
  <c r="D413" i="98"/>
  <c r="D18" i="110"/>
  <c r="D28" i="110" s="1"/>
  <c r="B28" i="110"/>
  <c r="Q9" i="12"/>
  <c r="R9" i="12"/>
  <c r="B10" i="11"/>
  <c r="N15" i="13"/>
  <c r="B15" i="51"/>
  <c r="E15" i="51" s="1"/>
  <c r="B23" i="53"/>
  <c r="E23" i="53" s="1"/>
  <c r="B19" i="21"/>
  <c r="E19" i="21" s="1"/>
  <c r="B9" i="21"/>
  <c r="E9" i="21" s="1"/>
  <c r="B11" i="53"/>
  <c r="E11" i="53" s="1"/>
  <c r="B16" i="53"/>
  <c r="E16" i="53" s="1"/>
  <c r="B14" i="21"/>
  <c r="E14" i="21" s="1"/>
  <c r="B22" i="53"/>
  <c r="E22" i="53" s="1"/>
  <c r="B7" i="53"/>
  <c r="E7" i="53" s="1"/>
  <c r="R4" i="90"/>
  <c r="B18" i="21"/>
  <c r="E18" i="21" s="1"/>
  <c r="B6" i="21"/>
  <c r="E6" i="21" s="1"/>
  <c r="B21" i="53"/>
  <c r="E21" i="53" s="1"/>
  <c r="B3" i="53"/>
  <c r="E3" i="53" s="1"/>
  <c r="B17" i="21"/>
  <c r="E17" i="21" s="1"/>
  <c r="B28" i="17"/>
  <c r="B4" i="21"/>
  <c r="E4" i="21" s="1"/>
  <c r="B19" i="51"/>
  <c r="E19" i="51" s="1"/>
  <c r="AJ6" i="81" l="1"/>
  <c r="G29" i="110"/>
  <c r="T10" i="86" s="1"/>
  <c r="D414" i="98"/>
  <c r="D255" i="98"/>
  <c r="J16" i="102"/>
  <c r="T4" i="93"/>
  <c r="T5" i="93" s="1"/>
  <c r="T4" i="86"/>
  <c r="B18" i="53"/>
  <c r="E18" i="53" s="1"/>
  <c r="B16" i="21"/>
  <c r="E16" i="21" s="1"/>
  <c r="B11" i="15"/>
  <c r="D11" i="15" s="1"/>
  <c r="B4" i="15"/>
  <c r="D4" i="15" s="1"/>
  <c r="B9" i="15"/>
  <c r="D9" i="15" s="1"/>
  <c r="B6" i="15"/>
  <c r="D6" i="15" s="1"/>
  <c r="B7" i="15"/>
  <c r="D7" i="15" s="1"/>
  <c r="B10" i="15"/>
  <c r="D10" i="15" s="1"/>
  <c r="B5" i="15"/>
  <c r="D5" i="15" s="1"/>
  <c r="R4" i="86"/>
  <c r="R4" i="93"/>
  <c r="R5" i="93" s="1"/>
  <c r="R6" i="93" s="1"/>
  <c r="R5" i="90"/>
  <c r="R6" i="90" s="1"/>
  <c r="E20" i="51"/>
  <c r="B20" i="51"/>
  <c r="B20" i="21"/>
  <c r="E20" i="21" s="1"/>
  <c r="B26" i="53"/>
  <c r="G11" i="17"/>
  <c r="H11" i="17" s="1"/>
  <c r="G16" i="17"/>
  <c r="H16" i="17" s="1"/>
  <c r="U8" i="102" s="1"/>
  <c r="G18" i="17"/>
  <c r="H18" i="17" s="1"/>
  <c r="U9" i="102" s="1"/>
  <c r="G21" i="17"/>
  <c r="H21" i="17" s="1"/>
  <c r="U10" i="102" s="1"/>
  <c r="G23" i="17"/>
  <c r="H23" i="17" s="1"/>
  <c r="U11" i="102" s="1"/>
  <c r="G24" i="17"/>
  <c r="H24" i="17" s="1"/>
  <c r="U12" i="102" s="1"/>
  <c r="G27" i="17"/>
  <c r="H27" i="17" s="1"/>
  <c r="U13" i="102" s="1"/>
  <c r="T4" i="90" l="1"/>
  <c r="T5" i="90" s="1"/>
  <c r="G21" i="51"/>
  <c r="K10" i="86" s="1"/>
  <c r="D415" i="98"/>
  <c r="T5" i="86"/>
  <c r="T6" i="86" s="1"/>
  <c r="T8" i="86"/>
  <c r="T11" i="86" s="1"/>
  <c r="T7" i="86"/>
  <c r="T6" i="90"/>
  <c r="T7" i="90"/>
  <c r="T8" i="90" s="1"/>
  <c r="T6" i="93"/>
  <c r="T7" i="93"/>
  <c r="T8" i="93" s="1"/>
  <c r="B8" i="15"/>
  <c r="B20" i="18" s="1"/>
  <c r="E21" i="21"/>
  <c r="B26" i="18"/>
  <c r="D26" i="18" s="1"/>
  <c r="U7" i="102"/>
  <c r="H28" i="17"/>
  <c r="U16" i="102" s="1"/>
  <c r="B27" i="53"/>
  <c r="E26" i="53"/>
  <c r="E27" i="53" s="1"/>
  <c r="R8" i="86"/>
  <c r="R11" i="86" s="1"/>
  <c r="B25" i="18"/>
  <c r="D25" i="18" s="1"/>
  <c r="B23" i="18"/>
  <c r="D23" i="18" s="1"/>
  <c r="B13" i="18"/>
  <c r="D13" i="18" s="1"/>
  <c r="B9" i="18"/>
  <c r="D9" i="18" s="1"/>
  <c r="B18" i="18"/>
  <c r="D18" i="18" s="1"/>
  <c r="B5" i="18"/>
  <c r="D5" i="18" s="1"/>
  <c r="R7" i="86"/>
  <c r="R5" i="86"/>
  <c r="G28" i="17"/>
  <c r="K4" i="86"/>
  <c r="R7" i="90"/>
  <c r="R7" i="93"/>
  <c r="G30" i="18"/>
  <c r="B21" i="21"/>
  <c r="B12" i="15"/>
  <c r="C5" i="16"/>
  <c r="F5" i="16" s="1"/>
  <c r="C9" i="16"/>
  <c r="C10" i="16"/>
  <c r="C13" i="16"/>
  <c r="C12" i="16"/>
  <c r="C11" i="16"/>
  <c r="C8" i="16"/>
  <c r="C7" i="16"/>
  <c r="B13" i="15" l="1"/>
  <c r="D8" i="15"/>
  <c r="H28" i="53"/>
  <c r="L10" i="86" s="1"/>
  <c r="B15" i="35"/>
  <c r="D15" i="35" s="1"/>
  <c r="K8" i="86"/>
  <c r="K11" i="86" s="1"/>
  <c r="R6" i="86"/>
  <c r="D20" i="18"/>
  <c r="B12" i="35"/>
  <c r="E8" i="33"/>
  <c r="B14" i="35"/>
  <c r="D14" i="35" s="1"/>
  <c r="B10" i="35"/>
  <c r="D10" i="35" s="1"/>
  <c r="B13" i="35"/>
  <c r="D13" i="35" s="1"/>
  <c r="B9" i="35"/>
  <c r="D9" i="35" s="1"/>
  <c r="B8" i="35"/>
  <c r="D8" i="35" s="1"/>
  <c r="B11" i="35"/>
  <c r="D11" i="35" s="1"/>
  <c r="K4" i="90"/>
  <c r="K5" i="90" s="1"/>
  <c r="K4" i="93"/>
  <c r="K5" i="93" s="1"/>
  <c r="E12" i="33"/>
  <c r="E10" i="33"/>
  <c r="E11" i="33"/>
  <c r="L4" i="86"/>
  <c r="R8" i="93"/>
  <c r="V14" i="102"/>
  <c r="V17" i="102" s="1"/>
  <c r="K7" i="86"/>
  <c r="K5" i="86"/>
  <c r="U14" i="102"/>
  <c r="U17" i="102" s="1"/>
  <c r="R8" i="90"/>
  <c r="D13" i="100"/>
  <c r="D12" i="15"/>
  <c r="D13" i="15" s="1"/>
  <c r="H5" i="16"/>
  <c r="I5" i="16" s="1"/>
  <c r="B29" i="18"/>
  <c r="C6" i="16"/>
  <c r="C14" i="16" s="1"/>
  <c r="B30" i="34" l="1"/>
  <c r="D30" i="34" s="1"/>
  <c r="K6" i="86"/>
  <c r="K7" i="90"/>
  <c r="K8" i="90" s="1"/>
  <c r="K6" i="90"/>
  <c r="K7" i="93"/>
  <c r="K8" i="93" s="1"/>
  <c r="K6" i="93"/>
  <c r="D29" i="18"/>
  <c r="D30" i="18" s="1"/>
  <c r="G31" i="18" s="1"/>
  <c r="D12" i="35"/>
  <c r="B27" i="34"/>
  <c r="D27" i="34" s="1"/>
  <c r="E5" i="33"/>
  <c r="B29" i="34"/>
  <c r="D29" i="34" s="1"/>
  <c r="B25" i="34"/>
  <c r="D25" i="34" s="1"/>
  <c r="E6" i="33"/>
  <c r="B28" i="34"/>
  <c r="D28" i="34" s="1"/>
  <c r="B24" i="34"/>
  <c r="D24" i="34" s="1"/>
  <c r="B23" i="34"/>
  <c r="D23" i="34" s="1"/>
  <c r="B26" i="34"/>
  <c r="D26" i="34" s="1"/>
  <c r="E7" i="33"/>
  <c r="K5" i="16"/>
  <c r="L4" i="93"/>
  <c r="L5" i="93" s="1"/>
  <c r="L4" i="90"/>
  <c r="L5" i="90" s="1"/>
  <c r="L7" i="86"/>
  <c r="L8" i="86"/>
  <c r="L11" i="86" s="1"/>
  <c r="L5" i="86"/>
  <c r="L6" i="86" s="1"/>
  <c r="F14" i="15"/>
  <c r="B30" i="18"/>
  <c r="B16" i="35"/>
  <c r="B17" i="35" s="1"/>
  <c r="S4" i="90" l="1"/>
  <c r="S10" i="86"/>
  <c r="U4" i="86"/>
  <c r="U7" i="86" s="1"/>
  <c r="U10" i="86"/>
  <c r="L7" i="90"/>
  <c r="L8" i="90" s="1"/>
  <c r="L6" i="90"/>
  <c r="L7" i="93"/>
  <c r="L8" i="93" s="1"/>
  <c r="L6" i="93"/>
  <c r="U4" i="90"/>
  <c r="U5" i="90" s="1"/>
  <c r="S4" i="86"/>
  <c r="E9" i="33"/>
  <c r="E13" i="33" s="1"/>
  <c r="G14" i="33" s="1"/>
  <c r="U4" i="93"/>
  <c r="U5" i="93" s="1"/>
  <c r="S4" i="93"/>
  <c r="S5" i="93" s="1"/>
  <c r="S6" i="93" s="1"/>
  <c r="S5" i="90"/>
  <c r="S6" i="90" s="1"/>
  <c r="B13" i="33"/>
  <c r="D16" i="35"/>
  <c r="D17" i="35" s="1"/>
  <c r="B31" i="34"/>
  <c r="U8" i="86" l="1"/>
  <c r="U5" i="86"/>
  <c r="U6" i="86" s="1"/>
  <c r="U11" i="86"/>
  <c r="V4" i="86"/>
  <c r="V10" i="86"/>
  <c r="S5" i="86"/>
  <c r="S6" i="86" s="1"/>
  <c r="U7" i="90"/>
  <c r="U8" i="90" s="1"/>
  <c r="U6" i="90"/>
  <c r="U7" i="93"/>
  <c r="U8" i="93" s="1"/>
  <c r="U6" i="93"/>
  <c r="S8" i="86"/>
  <c r="S11" i="86" s="1"/>
  <c r="S7" i="86"/>
  <c r="S7" i="93"/>
  <c r="S7" i="90"/>
  <c r="Q5" i="102"/>
  <c r="T5" i="102" s="1"/>
  <c r="D31" i="34"/>
  <c r="D32" i="34" s="1"/>
  <c r="B32" i="34"/>
  <c r="H10" i="21"/>
  <c r="I10" i="21" s="1"/>
  <c r="V4" i="90" l="1"/>
  <c r="V5" i="90" s="1"/>
  <c r="V6" i="90" s="1"/>
  <c r="V4" i="93"/>
  <c r="V5" i="93" s="1"/>
  <c r="V6" i="93" s="1"/>
  <c r="S8" i="90"/>
  <c r="S8" i="93"/>
  <c r="K14" i="14"/>
  <c r="K8" i="14"/>
  <c r="K15" i="14"/>
  <c r="K16" i="14"/>
  <c r="K17" i="14"/>
  <c r="I8" i="14"/>
  <c r="I11" i="14"/>
  <c r="I15" i="14"/>
  <c r="I17" i="14"/>
  <c r="S8" i="14" l="1"/>
  <c r="T8" i="14" s="1"/>
  <c r="N7" i="102" s="1"/>
  <c r="S14" i="14"/>
  <c r="T14" i="14" s="1"/>
  <c r="N10" i="102" s="1"/>
  <c r="S16" i="14"/>
  <c r="T16" i="14" s="1"/>
  <c r="N12" i="102" s="1"/>
  <c r="S17" i="14"/>
  <c r="T17" i="14" s="1"/>
  <c r="N13" i="102" s="1"/>
  <c r="S15" i="14"/>
  <c r="S11" i="14"/>
  <c r="V7" i="86"/>
  <c r="V5" i="86"/>
  <c r="V8" i="86"/>
  <c r="V11" i="86" s="1"/>
  <c r="V7" i="90"/>
  <c r="V7" i="93"/>
  <c r="K6" i="14"/>
  <c r="T11" i="14" l="1"/>
  <c r="N8" i="102" s="1"/>
  <c r="P15" i="13"/>
  <c r="S6" i="14"/>
  <c r="T6" i="14" s="1"/>
  <c r="N6" i="102" s="1"/>
  <c r="V6" i="86"/>
  <c r="T15" i="14"/>
  <c r="V8" i="90"/>
  <c r="V8" i="93"/>
  <c r="N11" i="102" l="1"/>
  <c r="C15" i="13"/>
  <c r="L9" i="11" l="1"/>
  <c r="K9" i="11"/>
  <c r="O15" i="13" l="1"/>
  <c r="J9" i="11"/>
  <c r="O9" i="11"/>
  <c r="Q9" i="11" l="1"/>
  <c r="R9" i="11"/>
  <c r="P9" i="11"/>
  <c r="I13" i="102" s="1"/>
  <c r="O11" i="8"/>
  <c r="J11" i="8"/>
  <c r="R11" i="8" l="1"/>
  <c r="Q11" i="8"/>
  <c r="P11" i="8"/>
  <c r="E10" i="102" s="1"/>
  <c r="J13" i="8"/>
  <c r="O13" i="8"/>
  <c r="J8" i="8"/>
  <c r="J9" i="8"/>
  <c r="J12" i="8"/>
  <c r="O12" i="8"/>
  <c r="J7" i="8"/>
  <c r="J10" i="8"/>
  <c r="J14" i="8"/>
  <c r="O14" i="8"/>
  <c r="J7" i="10"/>
  <c r="J6" i="10"/>
  <c r="O19" i="6"/>
  <c r="O20" i="6" l="1"/>
  <c r="P21" i="6" s="1"/>
  <c r="Q19" i="6"/>
  <c r="P19" i="6"/>
  <c r="R19" i="6"/>
  <c r="Q13" i="8"/>
  <c r="P13" i="8"/>
  <c r="E12" i="102" s="1"/>
  <c r="R13" i="8"/>
  <c r="R12" i="8"/>
  <c r="Q12" i="8"/>
  <c r="P12" i="8"/>
  <c r="E11" i="102" s="1"/>
  <c r="K11" i="102" s="1"/>
  <c r="P14" i="8"/>
  <c r="E13" i="102" s="1"/>
  <c r="Q14" i="8"/>
  <c r="R14" i="8"/>
  <c r="O15" i="8"/>
  <c r="P16" i="8" s="1"/>
  <c r="B10" i="86" s="1"/>
  <c r="J15" i="8"/>
  <c r="J11" i="9"/>
  <c r="J11" i="10"/>
  <c r="J7" i="12"/>
  <c r="O7" i="12"/>
  <c r="J7" i="11"/>
  <c r="O7" i="11"/>
  <c r="J14" i="9"/>
  <c r="J8" i="9"/>
  <c r="J14" i="10"/>
  <c r="J8" i="10"/>
  <c r="J8" i="12"/>
  <c r="O8" i="12"/>
  <c r="J8" i="11"/>
  <c r="O8" i="11"/>
  <c r="J13" i="9"/>
  <c r="J10" i="9"/>
  <c r="J7" i="9"/>
  <c r="J13" i="10"/>
  <c r="J10" i="10"/>
  <c r="O10" i="10"/>
  <c r="J6" i="9"/>
  <c r="J12" i="9"/>
  <c r="J9" i="9"/>
  <c r="J12" i="10"/>
  <c r="J9" i="10"/>
  <c r="J6" i="11"/>
  <c r="J19" i="6"/>
  <c r="J8" i="6"/>
  <c r="J7" i="6"/>
  <c r="J13" i="6"/>
  <c r="J10" i="6"/>
  <c r="J12" i="6"/>
  <c r="J9" i="6"/>
  <c r="J14" i="6"/>
  <c r="J11" i="6"/>
  <c r="D7" i="102" l="1"/>
  <c r="P20" i="6"/>
  <c r="D16" i="102"/>
  <c r="B4" i="86"/>
  <c r="R8" i="11"/>
  <c r="Q8" i="11"/>
  <c r="P8" i="11"/>
  <c r="I9" i="102" s="1"/>
  <c r="R7" i="11"/>
  <c r="Q7" i="11"/>
  <c r="P7" i="11"/>
  <c r="I7" i="102" s="1"/>
  <c r="I5" i="102"/>
  <c r="Q6" i="11"/>
  <c r="R6" i="11"/>
  <c r="Q10" i="10"/>
  <c r="R10" i="10"/>
  <c r="P10" i="10"/>
  <c r="G9" i="102" s="1"/>
  <c r="P8" i="12"/>
  <c r="H9" i="102" s="1"/>
  <c r="R8" i="12"/>
  <c r="Q8" i="12"/>
  <c r="Q7" i="12"/>
  <c r="R7" i="12"/>
  <c r="P7" i="12"/>
  <c r="H7" i="102" s="1"/>
  <c r="O10" i="12"/>
  <c r="P11" i="12" s="1"/>
  <c r="J10" i="12"/>
  <c r="D14" i="102"/>
  <c r="Q16" i="8"/>
  <c r="B4" i="93" s="1"/>
  <c r="R16" i="8"/>
  <c r="B4" i="90" s="1"/>
  <c r="O10" i="11"/>
  <c r="P11" i="11" s="1"/>
  <c r="E14" i="102"/>
  <c r="O15" i="10"/>
  <c r="P16" i="10" s="1"/>
  <c r="E10" i="86" s="1"/>
  <c r="O15" i="6"/>
  <c r="P16" i="6" s="1"/>
  <c r="O15" i="9"/>
  <c r="P16" i="9" s="1"/>
  <c r="D10" i="86" s="1"/>
  <c r="J15" i="9"/>
  <c r="J15" i="6"/>
  <c r="J10" i="11"/>
  <c r="J15" i="10"/>
  <c r="L12" i="100"/>
  <c r="M12" i="100" s="1"/>
  <c r="H12" i="100"/>
  <c r="L11" i="100"/>
  <c r="M11" i="100" s="1"/>
  <c r="H11" i="100"/>
  <c r="N19" i="21" s="1"/>
  <c r="L10" i="100"/>
  <c r="M10" i="100" s="1"/>
  <c r="H10" i="100"/>
  <c r="L9" i="100"/>
  <c r="M9" i="100" s="1"/>
  <c r="H9" i="100"/>
  <c r="L7" i="100"/>
  <c r="M7" i="100" s="1"/>
  <c r="H7" i="100"/>
  <c r="H6" i="100"/>
  <c r="L5" i="100"/>
  <c r="M5" i="100" s="1"/>
  <c r="H5" i="100"/>
  <c r="L4" i="100"/>
  <c r="M4" i="100" s="1"/>
  <c r="C4" i="86" l="1"/>
  <c r="C10" i="86"/>
  <c r="D17" i="102"/>
  <c r="P10" i="12"/>
  <c r="H16" i="102" s="1"/>
  <c r="B5" i="86"/>
  <c r="B6" i="86" s="1"/>
  <c r="B8" i="86"/>
  <c r="B11" i="86" s="1"/>
  <c r="B7" i="86"/>
  <c r="K9" i="102"/>
  <c r="B5" i="90"/>
  <c r="B6" i="90" s="1"/>
  <c r="B5" i="93"/>
  <c r="B7" i="93" s="1"/>
  <c r="R11" i="11"/>
  <c r="Q11" i="11"/>
  <c r="R11" i="12"/>
  <c r="Q11" i="12"/>
  <c r="D4" i="86"/>
  <c r="Q16" i="9"/>
  <c r="D4" i="93" s="1"/>
  <c r="D5" i="93" s="1"/>
  <c r="I14" i="102"/>
  <c r="H14" i="102"/>
  <c r="R16" i="9"/>
  <c r="D4" i="90" s="1"/>
  <c r="D5" i="90" s="1"/>
  <c r="E4" i="86"/>
  <c r="Q16" i="10"/>
  <c r="E4" i="93" s="1"/>
  <c r="E5" i="93" s="1"/>
  <c r="R16" i="10"/>
  <c r="E4" i="90" s="1"/>
  <c r="E5" i="90" s="1"/>
  <c r="Q16" i="6"/>
  <c r="C4" i="93" s="1"/>
  <c r="R16" i="6"/>
  <c r="C4" i="90" s="1"/>
  <c r="C14" i="102"/>
  <c r="H8" i="100"/>
  <c r="P15" i="6"/>
  <c r="C16" i="102" s="1"/>
  <c r="L8" i="100"/>
  <c r="M8" i="100" s="1"/>
  <c r="M55" i="98"/>
  <c r="H17" i="102" l="1"/>
  <c r="C17" i="102"/>
  <c r="B7" i="90"/>
  <c r="B8" i="90" s="1"/>
  <c r="H13" i="100"/>
  <c r="J21" i="21"/>
  <c r="B6" i="93"/>
  <c r="D7" i="90"/>
  <c r="D8" i="90" s="1"/>
  <c r="D6" i="90"/>
  <c r="E7" i="90"/>
  <c r="E8" i="90" s="1"/>
  <c r="E6" i="90"/>
  <c r="B8" i="93"/>
  <c r="D7" i="93"/>
  <c r="D8" i="93" s="1"/>
  <c r="D6" i="93"/>
  <c r="E7" i="93"/>
  <c r="E8" i="93" s="1"/>
  <c r="E6" i="93"/>
  <c r="L13" i="100"/>
  <c r="C5" i="90"/>
  <c r="C5" i="93"/>
  <c r="M215" i="98"/>
  <c r="C7" i="86"/>
  <c r="C8" i="86"/>
  <c r="C11" i="86" s="1"/>
  <c r="C5" i="86"/>
  <c r="D8" i="86"/>
  <c r="D11" i="86" s="1"/>
  <c r="D5" i="86"/>
  <c r="D7" i="86"/>
  <c r="E5" i="86"/>
  <c r="E6" i="86" s="1"/>
  <c r="E8" i="86"/>
  <c r="E11" i="86" s="1"/>
  <c r="E7" i="86"/>
  <c r="K13" i="36"/>
  <c r="Y5" i="86" s="1"/>
  <c r="Y7" i="86" s="1"/>
  <c r="Y8" i="86" s="1"/>
  <c r="F27" i="37" l="1"/>
  <c r="F29" i="37"/>
  <c r="F34" i="37"/>
  <c r="F31" i="37"/>
  <c r="F30" i="37"/>
  <c r="F33" i="37"/>
  <c r="F35" i="37"/>
  <c r="F32" i="37"/>
  <c r="F28" i="37"/>
  <c r="D6" i="86"/>
  <c r="C7" i="90"/>
  <c r="C8" i="90" s="1"/>
  <c r="C6" i="90"/>
  <c r="C7" i="93"/>
  <c r="C6" i="93"/>
  <c r="C6" i="86"/>
  <c r="Y5" i="93"/>
  <c r="Y7" i="93" s="1"/>
  <c r="M375" i="98"/>
  <c r="K23" i="37"/>
  <c r="C8" i="85" l="1"/>
  <c r="C11" i="85" s="1"/>
  <c r="F8" i="85"/>
  <c r="C8" i="93"/>
  <c r="C12" i="85" l="1"/>
  <c r="C10" i="85"/>
  <c r="D10" i="85" s="1"/>
  <c r="O18" i="87" s="1"/>
  <c r="C9" i="85"/>
  <c r="A19" i="95"/>
  <c r="P436" i="98" l="1"/>
  <c r="P396" i="98"/>
  <c r="N437" i="98"/>
  <c r="O437" i="98"/>
  <c r="M437" i="98"/>
  <c r="N427" i="98"/>
  <c r="M427" i="98"/>
  <c r="N417" i="98"/>
  <c r="N397" i="98"/>
  <c r="N377" i="98"/>
  <c r="P276" i="98"/>
  <c r="P236" i="98"/>
  <c r="O436" i="98" l="1"/>
  <c r="M377" i="98"/>
  <c r="O427" i="98"/>
  <c r="P116" i="98"/>
  <c r="O426" i="98" l="1"/>
  <c r="A18" i="95"/>
  <c r="A17" i="95"/>
  <c r="A16" i="95"/>
  <c r="A13" i="95"/>
  <c r="A12" i="95"/>
  <c r="F21" i="21" l="1"/>
  <c r="D4" i="61"/>
  <c r="M10" i="102" s="1"/>
  <c r="C5" i="61"/>
  <c r="B5" i="61"/>
  <c r="K15" i="3" l="1"/>
  <c r="L15" i="3"/>
  <c r="N15" i="3"/>
  <c r="O15" i="3"/>
  <c r="O417" i="98"/>
  <c r="O416" i="98" l="1"/>
  <c r="O376" i="98"/>
  <c r="C9" i="36" l="1"/>
  <c r="C8" i="36"/>
  <c r="C7" i="36"/>
  <c r="C11" i="36"/>
  <c r="C20" i="37"/>
  <c r="C19" i="37"/>
  <c r="C18" i="37"/>
  <c r="C12" i="37"/>
  <c r="C10" i="37"/>
  <c r="C11" i="37"/>
  <c r="C9" i="37"/>
  <c r="C8" i="37"/>
  <c r="C7" i="37"/>
  <c r="C6" i="37"/>
  <c r="C13" i="37" s="1"/>
  <c r="C14" i="37" s="1"/>
  <c r="C21" i="37" l="1"/>
  <c r="E6" i="37"/>
  <c r="E7" i="36"/>
  <c r="C12" i="36"/>
  <c r="C13" i="36" s="1"/>
  <c r="C22" i="37" l="1"/>
  <c r="C23" i="37" s="1"/>
  <c r="A14" i="88"/>
  <c r="A3" i="88"/>
  <c r="D4" i="14" l="1"/>
  <c r="I4" i="14" l="1"/>
  <c r="E4" i="14"/>
  <c r="E18" i="14" s="1"/>
  <c r="D18" i="14"/>
  <c r="K4" i="14"/>
  <c r="K18" i="14" s="1"/>
  <c r="L6" i="10"/>
  <c r="K9" i="9"/>
  <c r="M20" i="6"/>
  <c r="N20" i="6"/>
  <c r="S19" i="14" l="1"/>
  <c r="H10" i="86" s="1"/>
  <c r="S4" i="14"/>
  <c r="T4" i="14" s="1"/>
  <c r="I18" i="14"/>
  <c r="K7" i="10"/>
  <c r="K7" i="6"/>
  <c r="K6" i="10"/>
  <c r="C20" i="6"/>
  <c r="K7" i="9"/>
  <c r="K12" i="9"/>
  <c r="H4" i="90" l="1"/>
  <c r="H5" i="90" s="1"/>
  <c r="N5" i="102"/>
  <c r="T18" i="14"/>
  <c r="N16" i="102" s="1"/>
  <c r="H7" i="90"/>
  <c r="H8" i="90" s="1"/>
  <c r="H6" i="90"/>
  <c r="S18" i="14"/>
  <c r="N14" i="102"/>
  <c r="H4" i="86"/>
  <c r="H4" i="93"/>
  <c r="H5" i="93" s="1"/>
  <c r="L7" i="10"/>
  <c r="L6" i="9"/>
  <c r="L9" i="9"/>
  <c r="L7" i="6"/>
  <c r="L6" i="8"/>
  <c r="N17" i="102" l="1"/>
  <c r="H7" i="86"/>
  <c r="H7" i="93"/>
  <c r="H8" i="93" s="1"/>
  <c r="H6" i="93"/>
  <c r="H8" i="86"/>
  <c r="H11" i="86" s="1"/>
  <c r="H5" i="86"/>
  <c r="H6" i="86" s="1"/>
  <c r="L7" i="9"/>
  <c r="L12" i="9"/>
  <c r="E9" i="3" l="1"/>
  <c r="F9" i="3" s="1"/>
  <c r="E10" i="3"/>
  <c r="F10" i="3" s="1"/>
  <c r="E7" i="3"/>
  <c r="F7" i="3" s="1"/>
  <c r="E12" i="3"/>
  <c r="F12" i="3" s="1"/>
  <c r="E8" i="3"/>
  <c r="F8" i="3" s="1"/>
  <c r="E13" i="3"/>
  <c r="F13" i="3" s="1"/>
  <c r="D15" i="3"/>
  <c r="E19" i="37"/>
  <c r="E20" i="37"/>
  <c r="E18" i="37"/>
  <c r="E7" i="37"/>
  <c r="E8" i="37"/>
  <c r="E9" i="37"/>
  <c r="E10" i="37"/>
  <c r="E11" i="37"/>
  <c r="E12" i="37"/>
  <c r="E8" i="36"/>
  <c r="E9" i="36"/>
  <c r="E10" i="36"/>
  <c r="E11" i="36"/>
  <c r="E4" i="34"/>
  <c r="E5" i="34"/>
  <c r="E6" i="34"/>
  <c r="E7" i="34"/>
  <c r="E8" i="34"/>
  <c r="E9" i="34"/>
  <c r="E10" i="34"/>
  <c r="E13" i="34"/>
  <c r="E14" i="34"/>
  <c r="E15" i="34"/>
  <c r="E16" i="34"/>
  <c r="E17" i="34"/>
  <c r="E18" i="34"/>
  <c r="E19" i="34"/>
  <c r="E3" i="34"/>
  <c r="E13" i="37" l="1"/>
  <c r="E14" i="37" s="1"/>
  <c r="E21" i="37"/>
  <c r="E22" i="37" s="1"/>
  <c r="E12" i="36"/>
  <c r="E13" i="36" s="1"/>
  <c r="E15" i="3"/>
  <c r="AD5" i="102"/>
  <c r="F15" i="3"/>
  <c r="E49" i="37" l="1"/>
  <c r="E43" i="37"/>
  <c r="E42" i="37"/>
  <c r="E47" i="37"/>
  <c r="E23" i="37"/>
  <c r="D49" i="37" s="1"/>
  <c r="E27" i="37"/>
  <c r="G27" i="37" s="1"/>
  <c r="Y12" i="86"/>
  <c r="Y10" i="86"/>
  <c r="Y4" i="86"/>
  <c r="Y6" i="86" s="1"/>
  <c r="D18" i="36"/>
  <c r="AB6" i="102" s="1"/>
  <c r="D22" i="36"/>
  <c r="AB10" i="102" s="1"/>
  <c r="D19" i="36"/>
  <c r="AB7" i="102" s="1"/>
  <c r="D23" i="36"/>
  <c r="AB11" i="102" s="1"/>
  <c r="D20" i="36"/>
  <c r="AB8" i="102" s="1"/>
  <c r="D24" i="36"/>
  <c r="AB12" i="102" s="1"/>
  <c r="D21" i="36"/>
  <c r="AB9" i="102" s="1"/>
  <c r="D25" i="36"/>
  <c r="AB13" i="102" s="1"/>
  <c r="Y4" i="93"/>
  <c r="Y6" i="93" s="1"/>
  <c r="D17" i="36"/>
  <c r="AB5" i="102" s="1"/>
  <c r="J13" i="37"/>
  <c r="D43" i="37" l="1"/>
  <c r="D47" i="37"/>
  <c r="D27" i="37"/>
  <c r="D42" i="37"/>
  <c r="F4" i="85"/>
  <c r="Y11" i="86"/>
  <c r="Y13" i="86"/>
  <c r="AB14" i="102"/>
  <c r="D26" i="36"/>
  <c r="AB16" i="102" s="1"/>
  <c r="D16" i="87"/>
  <c r="B8" i="94"/>
  <c r="D106" i="98" l="1"/>
  <c r="D113" i="98" s="1"/>
  <c r="AB17" i="102"/>
  <c r="D56" i="98"/>
  <c r="B5" i="94"/>
  <c r="D16" i="95"/>
  <c r="D266" i="98" s="1"/>
  <c r="B8" i="96"/>
  <c r="D16" i="97" s="1"/>
  <c r="D18" i="87"/>
  <c r="D116" i="98" s="1"/>
  <c r="B10" i="94"/>
  <c r="D17" i="87"/>
  <c r="D136" i="98" s="1"/>
  <c r="B9" i="94"/>
  <c r="D12" i="87"/>
  <c r="B4" i="94"/>
  <c r="D19" i="87"/>
  <c r="D126" i="98" s="1"/>
  <c r="B11" i="94"/>
  <c r="D20" i="87"/>
  <c r="D96" i="98" s="1"/>
  <c r="B12" i="94"/>
  <c r="C5" i="35"/>
  <c r="E18" i="35" s="1"/>
  <c r="W10" i="86" s="1"/>
  <c r="S13" i="102"/>
  <c r="D115" i="98" l="1"/>
  <c r="D111" i="98"/>
  <c r="D107" i="98"/>
  <c r="D114" i="98"/>
  <c r="D109" i="98"/>
  <c r="D110" i="98"/>
  <c r="D112" i="98"/>
  <c r="D76" i="98"/>
  <c r="D83" i="98" s="1"/>
  <c r="D108" i="98"/>
  <c r="D134" i="98"/>
  <c r="E33" i="37"/>
  <c r="G33" i="37" s="1"/>
  <c r="E31" i="37"/>
  <c r="G31" i="37" s="1"/>
  <c r="E35" i="37"/>
  <c r="G35" i="37" s="1"/>
  <c r="E29" i="37"/>
  <c r="G29" i="37" s="1"/>
  <c r="E34" i="37"/>
  <c r="G34" i="37" s="1"/>
  <c r="E32" i="37"/>
  <c r="G32" i="37" s="1"/>
  <c r="E28" i="37"/>
  <c r="E30" i="37"/>
  <c r="G30" i="37" s="1"/>
  <c r="D426" i="98"/>
  <c r="D435" i="98" s="1"/>
  <c r="D138" i="98"/>
  <c r="D137" i="98"/>
  <c r="D142" i="98"/>
  <c r="D144" i="98"/>
  <c r="D143" i="98"/>
  <c r="D141" i="98"/>
  <c r="D139" i="98"/>
  <c r="D140" i="98"/>
  <c r="D145" i="98"/>
  <c r="D271" i="98"/>
  <c r="D272" i="98"/>
  <c r="D270" i="98"/>
  <c r="D275" i="98"/>
  <c r="D274" i="98"/>
  <c r="D268" i="98"/>
  <c r="D269" i="98"/>
  <c r="D273" i="98"/>
  <c r="D267" i="98"/>
  <c r="S10" i="102"/>
  <c r="S14" i="102" s="1"/>
  <c r="H27" i="53"/>
  <c r="S16" i="102" s="1"/>
  <c r="D129" i="98"/>
  <c r="D135" i="98"/>
  <c r="D132" i="98"/>
  <c r="D127" i="98"/>
  <c r="D128" i="98"/>
  <c r="D131" i="98"/>
  <c r="D133" i="98"/>
  <c r="D130" i="98"/>
  <c r="W4" i="86"/>
  <c r="W4" i="90"/>
  <c r="W4" i="93"/>
  <c r="D99" i="98"/>
  <c r="D100" i="98"/>
  <c r="D105" i="98"/>
  <c r="D97" i="98"/>
  <c r="D102" i="98"/>
  <c r="D101" i="98"/>
  <c r="D98" i="98"/>
  <c r="D104" i="98"/>
  <c r="D103" i="98"/>
  <c r="D121" i="98"/>
  <c r="D120" i="98"/>
  <c r="D122" i="98"/>
  <c r="D117" i="98"/>
  <c r="D124" i="98"/>
  <c r="D118" i="98"/>
  <c r="D125" i="98"/>
  <c r="D123" i="98"/>
  <c r="D119" i="98"/>
  <c r="D58" i="98"/>
  <c r="D63" i="98"/>
  <c r="D61" i="98"/>
  <c r="D60" i="98"/>
  <c r="D62" i="98"/>
  <c r="D65" i="98"/>
  <c r="D57" i="98"/>
  <c r="D64" i="98"/>
  <c r="D59" i="98"/>
  <c r="E8" i="35"/>
  <c r="E11" i="35"/>
  <c r="AA8" i="102" s="1"/>
  <c r="E16" i="35"/>
  <c r="AA13" i="102" s="1"/>
  <c r="E9" i="35"/>
  <c r="AA6" i="102" s="1"/>
  <c r="E12" i="35"/>
  <c r="AA9" i="102" s="1"/>
  <c r="E14" i="35"/>
  <c r="AA11" i="102" s="1"/>
  <c r="E13" i="35"/>
  <c r="AA10" i="102" s="1"/>
  <c r="E10" i="35"/>
  <c r="AA7" i="102" s="1"/>
  <c r="E15" i="35"/>
  <c r="AA12" i="102" s="1"/>
  <c r="D20" i="95"/>
  <c r="D256" i="98" s="1"/>
  <c r="B12" i="96"/>
  <c r="D20" i="97" s="1"/>
  <c r="D416" i="98" s="1"/>
  <c r="D12" i="95"/>
  <c r="D236" i="98" s="1"/>
  <c r="B4" i="96"/>
  <c r="D12" i="97" s="1"/>
  <c r="D396" i="98" s="1"/>
  <c r="D397" i="98" s="1"/>
  <c r="D18" i="95"/>
  <c r="D276" i="98" s="1"/>
  <c r="B10" i="96"/>
  <c r="D18" i="97" s="1"/>
  <c r="D436" i="98" s="1"/>
  <c r="D17" i="95"/>
  <c r="D296" i="98" s="1"/>
  <c r="B9" i="96"/>
  <c r="D17" i="97" s="1"/>
  <c r="D456" i="98" s="1"/>
  <c r="D19" i="95"/>
  <c r="D286" i="98" s="1"/>
  <c r="B11" i="96"/>
  <c r="D19" i="97" s="1"/>
  <c r="D446" i="98" s="1"/>
  <c r="D13" i="95"/>
  <c r="D216" i="98" s="1"/>
  <c r="D217" i="98" s="1"/>
  <c r="B5" i="96"/>
  <c r="D13" i="97" s="1"/>
  <c r="D376" i="98" s="1"/>
  <c r="L16" i="21"/>
  <c r="H16" i="21"/>
  <c r="I16" i="21" s="1"/>
  <c r="S17" i="102" l="1"/>
  <c r="G28" i="37"/>
  <c r="D85" i="98"/>
  <c r="D81" i="98"/>
  <c r="D84" i="98"/>
  <c r="D77" i="98"/>
  <c r="D79" i="98"/>
  <c r="D82" i="98"/>
  <c r="D80" i="98"/>
  <c r="D78" i="98"/>
  <c r="D429" i="98"/>
  <c r="D433" i="98"/>
  <c r="D428" i="98"/>
  <c r="D434" i="98"/>
  <c r="D432" i="98"/>
  <c r="D427" i="98"/>
  <c r="D431" i="98"/>
  <c r="D398" i="98"/>
  <c r="D430" i="98"/>
  <c r="M16" i="21"/>
  <c r="N16" i="21" s="1"/>
  <c r="O16" i="21" s="1"/>
  <c r="D244" i="98"/>
  <c r="D239" i="98"/>
  <c r="D240" i="98"/>
  <c r="D245" i="98"/>
  <c r="D237" i="98"/>
  <c r="D238" i="98"/>
  <c r="D243" i="98"/>
  <c r="D241" i="98"/>
  <c r="D242" i="98"/>
  <c r="W5" i="93"/>
  <c r="W6" i="93" s="1"/>
  <c r="D449" i="98"/>
  <c r="D453" i="98"/>
  <c r="D450" i="98"/>
  <c r="D454" i="98"/>
  <c r="D448" i="98"/>
  <c r="D452" i="98"/>
  <c r="D447" i="98"/>
  <c r="D451" i="98"/>
  <c r="D455" i="98"/>
  <c r="D438" i="98"/>
  <c r="D442" i="98"/>
  <c r="D437" i="98"/>
  <c r="D439" i="98"/>
  <c r="D443" i="98"/>
  <c r="D441" i="98"/>
  <c r="D445" i="98"/>
  <c r="D444" i="98"/>
  <c r="D440" i="98"/>
  <c r="D420" i="98"/>
  <c r="D424" i="98"/>
  <c r="D421" i="98"/>
  <c r="D425" i="98"/>
  <c r="D419" i="98"/>
  <c r="D423" i="98"/>
  <c r="D417" i="98"/>
  <c r="D418" i="98"/>
  <c r="D422" i="98"/>
  <c r="W5" i="90"/>
  <c r="W6" i="90" s="1"/>
  <c r="D288" i="98"/>
  <c r="D289" i="98"/>
  <c r="D293" i="98"/>
  <c r="D294" i="98"/>
  <c r="D291" i="98"/>
  <c r="D292" i="98"/>
  <c r="D295" i="98"/>
  <c r="D290" i="98"/>
  <c r="D287" i="98"/>
  <c r="D259" i="98"/>
  <c r="D261" i="98"/>
  <c r="D264" i="98"/>
  <c r="D258" i="98"/>
  <c r="D265" i="98"/>
  <c r="D257" i="98"/>
  <c r="D262" i="98"/>
  <c r="D260" i="98"/>
  <c r="D263" i="98"/>
  <c r="W5" i="86"/>
  <c r="W7" i="86"/>
  <c r="W8" i="86"/>
  <c r="W11" i="86" s="1"/>
  <c r="D304" i="98"/>
  <c r="D297" i="98"/>
  <c r="D298" i="98"/>
  <c r="D299" i="98"/>
  <c r="D301" i="98"/>
  <c r="D302" i="98"/>
  <c r="D305" i="98"/>
  <c r="D300" i="98"/>
  <c r="D303" i="98"/>
  <c r="D380" i="98"/>
  <c r="D384" i="98"/>
  <c r="D381" i="98"/>
  <c r="D385" i="98"/>
  <c r="D379" i="98"/>
  <c r="D383" i="98"/>
  <c r="D377" i="98"/>
  <c r="D378" i="98"/>
  <c r="D382" i="98"/>
  <c r="D460" i="98"/>
  <c r="D464" i="98"/>
  <c r="D461" i="98"/>
  <c r="D465" i="98"/>
  <c r="D457" i="98"/>
  <c r="D459" i="98"/>
  <c r="D463" i="98"/>
  <c r="D458" i="98"/>
  <c r="D462" i="98"/>
  <c r="AA5" i="102"/>
  <c r="AA14" i="102" s="1"/>
  <c r="E17" i="35"/>
  <c r="AA16" i="102" s="1"/>
  <c r="D279" i="98"/>
  <c r="D283" i="98"/>
  <c r="D280" i="98"/>
  <c r="D284" i="98"/>
  <c r="D281" i="98"/>
  <c r="D282" i="98"/>
  <c r="D277" i="98"/>
  <c r="D285" i="98"/>
  <c r="D278" i="98"/>
  <c r="D221" i="98"/>
  <c r="D225" i="98"/>
  <c r="D218" i="98"/>
  <c r="D222" i="98"/>
  <c r="D219" i="98"/>
  <c r="D223" i="98"/>
  <c r="D220" i="98"/>
  <c r="D224" i="98"/>
  <c r="AA17" i="102" l="1"/>
  <c r="P16" i="21"/>
  <c r="W6" i="86"/>
  <c r="D399" i="98"/>
  <c r="W7" i="90"/>
  <c r="W7" i="93"/>
  <c r="O9" i="102"/>
  <c r="P9" i="102" s="1"/>
  <c r="F9" i="16"/>
  <c r="H9" i="16" s="1"/>
  <c r="I9" i="16" s="1"/>
  <c r="D400" i="98" l="1"/>
  <c r="W8" i="90"/>
  <c r="W8" i="93"/>
  <c r="D401" i="98" l="1"/>
  <c r="D402" i="98" l="1"/>
  <c r="K14" i="6"/>
  <c r="K9" i="6"/>
  <c r="K8" i="6"/>
  <c r="K12" i="6"/>
  <c r="K11" i="6"/>
  <c r="K10" i="6"/>
  <c r="D403" i="98" l="1"/>
  <c r="K13" i="6"/>
  <c r="L12" i="6"/>
  <c r="M15" i="13" l="1"/>
  <c r="N16" i="13" s="1"/>
  <c r="D404" i="98"/>
  <c r="I20" i="6"/>
  <c r="R21" i="6" s="1"/>
  <c r="H20" i="6"/>
  <c r="Q21" i="6" s="1"/>
  <c r="L8" i="6"/>
  <c r="L14" i="6"/>
  <c r="L11" i="6"/>
  <c r="L10" i="6"/>
  <c r="L9" i="6"/>
  <c r="F10" i="86" l="1"/>
  <c r="F4" i="86"/>
  <c r="O16" i="13"/>
  <c r="F4" i="93" s="1"/>
  <c r="P16" i="13"/>
  <c r="F4" i="90" s="1"/>
  <c r="D405" i="98"/>
  <c r="L13" i="6"/>
  <c r="F5" i="90" l="1"/>
  <c r="G4" i="90"/>
  <c r="F7" i="97" s="1"/>
  <c r="F326" i="98" s="1"/>
  <c r="G4" i="93"/>
  <c r="F5" i="93"/>
  <c r="F5" i="86"/>
  <c r="G4" i="86"/>
  <c r="F7" i="86"/>
  <c r="G7" i="86" s="1"/>
  <c r="F8" i="86"/>
  <c r="G8" i="86" s="1"/>
  <c r="K8" i="11"/>
  <c r="K6" i="12"/>
  <c r="K8" i="12"/>
  <c r="F11" i="86" l="1"/>
  <c r="G5" i="93"/>
  <c r="F6" i="93"/>
  <c r="G6" i="93" s="1"/>
  <c r="F9" i="95" s="1"/>
  <c r="F186" i="98" s="1"/>
  <c r="F187" i="98" s="1"/>
  <c r="F7" i="93"/>
  <c r="F334" i="98"/>
  <c r="F335" i="98"/>
  <c r="F332" i="98"/>
  <c r="F327" i="98"/>
  <c r="F331" i="98"/>
  <c r="F328" i="98"/>
  <c r="F329" i="98"/>
  <c r="F333" i="98"/>
  <c r="F330" i="98"/>
  <c r="G5" i="86"/>
  <c r="F6" i="86"/>
  <c r="G6" i="86" s="1"/>
  <c r="F9" i="87" s="1"/>
  <c r="F26" i="98" s="1"/>
  <c r="G5" i="90"/>
  <c r="F7" i="90"/>
  <c r="F6" i="90"/>
  <c r="G6" i="90" s="1"/>
  <c r="F9" i="97" s="1"/>
  <c r="F346" i="98" s="1"/>
  <c r="F347" i="98" s="1"/>
  <c r="F348" i="98" s="1"/>
  <c r="F349" i="98" s="1"/>
  <c r="F350" i="98" s="1"/>
  <c r="F351" i="98" s="1"/>
  <c r="F352" i="98" s="1"/>
  <c r="F353" i="98" s="1"/>
  <c r="F354" i="98" s="1"/>
  <c r="F355" i="98" s="1"/>
  <c r="L8" i="12"/>
  <c r="L6" i="12"/>
  <c r="L8" i="11"/>
  <c r="F188" i="98" l="1"/>
  <c r="F27" i="98"/>
  <c r="F8" i="93"/>
  <c r="G8" i="93" s="1"/>
  <c r="G7" i="93"/>
  <c r="F8" i="90"/>
  <c r="G8" i="90" s="1"/>
  <c r="G7" i="90"/>
  <c r="P10" i="11"/>
  <c r="I16" i="102" s="1"/>
  <c r="I17" i="102" s="1"/>
  <c r="K6" i="11"/>
  <c r="K7" i="12"/>
  <c r="K7" i="11"/>
  <c r="K8" i="9"/>
  <c r="K11" i="9"/>
  <c r="K10" i="9"/>
  <c r="K14" i="9"/>
  <c r="F189" i="98" l="1"/>
  <c r="F28" i="98"/>
  <c r="F29" i="98" s="1"/>
  <c r="F30" i="98" s="1"/>
  <c r="F31" i="98" s="1"/>
  <c r="F32" i="98" s="1"/>
  <c r="F33" i="98" s="1"/>
  <c r="F34" i="98" s="1"/>
  <c r="F35" i="98" s="1"/>
  <c r="Q10" i="12"/>
  <c r="K10" i="12"/>
  <c r="K10" i="11"/>
  <c r="L8" i="10"/>
  <c r="K8" i="10"/>
  <c r="L12" i="10"/>
  <c r="L13" i="10"/>
  <c r="L11" i="10"/>
  <c r="L14" i="10"/>
  <c r="K10" i="10"/>
  <c r="K12" i="10"/>
  <c r="K13" i="10"/>
  <c r="K11" i="10"/>
  <c r="K14" i="10"/>
  <c r="L10" i="10"/>
  <c r="Q10" i="11"/>
  <c r="L7" i="12"/>
  <c r="K13" i="9"/>
  <c r="F190" i="98" l="1"/>
  <c r="R10" i="12"/>
  <c r="L10" i="12"/>
  <c r="L6" i="11"/>
  <c r="L7" i="11"/>
  <c r="K9" i="10"/>
  <c r="L9" i="10"/>
  <c r="L14" i="9"/>
  <c r="L8" i="9"/>
  <c r="L11" i="9"/>
  <c r="L10" i="9"/>
  <c r="F191" i="98" l="1"/>
  <c r="R10" i="11"/>
  <c r="L10" i="11"/>
  <c r="L13" i="9"/>
  <c r="F192" i="98" l="1"/>
  <c r="A16" i="14"/>
  <c r="A18" i="51" s="1"/>
  <c r="A19" i="21" s="1"/>
  <c r="A23" i="53" s="1"/>
  <c r="F193" i="98" l="1"/>
  <c r="A11" i="15"/>
  <c r="A26" i="18" s="1"/>
  <c r="F194" i="98" l="1"/>
  <c r="A15" i="35"/>
  <c r="A11" i="22" s="1"/>
  <c r="A24" i="23" s="1"/>
  <c r="F195" i="98" l="1"/>
  <c r="A30" i="34"/>
  <c r="A12" i="88"/>
  <c r="A24" i="36" l="1"/>
  <c r="A17" i="14"/>
  <c r="A19" i="51" s="1"/>
  <c r="A20" i="21" s="1"/>
  <c r="A26" i="53" s="1"/>
  <c r="A5" i="51"/>
  <c r="A6" i="21" s="1"/>
  <c r="A7" i="53" s="1"/>
  <c r="A3" i="61" s="1"/>
  <c r="A9" i="51"/>
  <c r="A9" i="21" s="1"/>
  <c r="A11" i="53" s="1"/>
  <c r="A14" i="14"/>
  <c r="A16" i="51" s="1"/>
  <c r="A17" i="21" s="1"/>
  <c r="A21" i="53" s="1"/>
  <c r="A4" i="61" s="1"/>
  <c r="A34" i="37" l="1"/>
  <c r="A24" i="38" s="1"/>
  <c r="B12" i="81" s="1"/>
  <c r="A13" i="2" s="1"/>
  <c r="B12" i="102" s="1"/>
  <c r="B13" i="107" s="1"/>
  <c r="A34" i="112"/>
  <c r="A11" i="14"/>
  <c r="A14" i="51" s="1"/>
  <c r="A14" i="21" s="1"/>
  <c r="A16" i="53" s="1"/>
  <c r="A7" i="15" s="1"/>
  <c r="A18" i="18" s="1"/>
  <c r="A9" i="15"/>
  <c r="A23" i="18" s="1"/>
  <c r="A6" i="15"/>
  <c r="A13" i="18" s="1"/>
  <c r="A5" i="15"/>
  <c r="A9" i="18" s="1"/>
  <c r="A12" i="15"/>
  <c r="A29" i="18" s="1"/>
  <c r="A16" i="35" s="1"/>
  <c r="A12" i="22" s="1"/>
  <c r="A26" i="23" s="1"/>
  <c r="A3" i="51"/>
  <c r="A4" i="21" s="1"/>
  <c r="A3" i="53" s="1"/>
  <c r="A4" i="15" s="1"/>
  <c r="A5" i="18" s="1"/>
  <c r="A6" i="11"/>
  <c r="A15" i="14"/>
  <c r="A17" i="51" s="1"/>
  <c r="A18" i="21" s="1"/>
  <c r="A22" i="53" s="1"/>
  <c r="A8" i="11"/>
  <c r="A13" i="14"/>
  <c r="A15" i="51" s="1"/>
  <c r="A16" i="21" s="1"/>
  <c r="A18" i="53" s="1"/>
  <c r="A7" i="11"/>
  <c r="B13" i="104" l="1"/>
  <c r="B13" i="105"/>
  <c r="A14" i="98"/>
  <c r="A10" i="109" s="1"/>
  <c r="A23" i="109" s="1"/>
  <c r="A36" i="109" s="1"/>
  <c r="A13" i="88"/>
  <c r="A9" i="35"/>
  <c r="A5" i="22" s="1"/>
  <c r="A8" i="23" s="1"/>
  <c r="A11" i="35"/>
  <c r="A7" i="22" s="1"/>
  <c r="A17" i="23" s="1"/>
  <c r="A10" i="35"/>
  <c r="A6" i="22" s="1"/>
  <c r="A31" i="34"/>
  <c r="A13" i="35"/>
  <c r="A9" i="22" s="1"/>
  <c r="A21" i="23" s="1"/>
  <c r="A8" i="15"/>
  <c r="A20" i="18" s="1"/>
  <c r="A10" i="15"/>
  <c r="A25" i="18" s="1"/>
  <c r="A8" i="35"/>
  <c r="A4" i="22" s="1"/>
  <c r="A4" i="23" s="1"/>
  <c r="A174" i="98" l="1"/>
  <c r="A24" i="98"/>
  <c r="A64" i="98" s="1"/>
  <c r="A74" i="98" s="1"/>
  <c r="A234" i="98" s="1"/>
  <c r="A394" i="98" s="1"/>
  <c r="A26" i="34"/>
  <c r="A25" i="36"/>
  <c r="A10" i="88"/>
  <c r="A7" i="88"/>
  <c r="A8" i="88"/>
  <c r="A24" i="34"/>
  <c r="A6" i="88"/>
  <c r="A28" i="34"/>
  <c r="A25" i="34"/>
  <c r="A14" i="35"/>
  <c r="A10" i="22" s="1"/>
  <c r="A23" i="23" s="1"/>
  <c r="A12" i="35"/>
  <c r="A8" i="22" s="1"/>
  <c r="A19" i="23" s="1"/>
  <c r="A23" i="34"/>
  <c r="A5" i="88"/>
  <c r="A184" i="98" l="1"/>
  <c r="A34" i="98"/>
  <c r="A194" i="98" s="1"/>
  <c r="A354" i="98" s="1"/>
  <c r="A44" i="98"/>
  <c r="A204" i="98" s="1"/>
  <c r="A35" i="37"/>
  <c r="A25" i="38" s="1"/>
  <c r="B13" i="81" s="1"/>
  <c r="A14" i="2" s="1"/>
  <c r="B13" i="102" s="1"/>
  <c r="B14" i="105" s="1"/>
  <c r="A35" i="112"/>
  <c r="A84" i="98"/>
  <c r="A224" i="98"/>
  <c r="A244" i="98" s="1"/>
  <c r="A20" i="36"/>
  <c r="A18" i="36"/>
  <c r="A17" i="36"/>
  <c r="A19" i="36"/>
  <c r="A22" i="36"/>
  <c r="A11" i="88"/>
  <c r="A9" i="88"/>
  <c r="A29" i="34"/>
  <c r="A27" i="34"/>
  <c r="A54" i="98" l="1"/>
  <c r="A15" i="98"/>
  <c r="A11" i="109" s="1"/>
  <c r="A24" i="109" s="1"/>
  <c r="A37" i="109" s="1"/>
  <c r="B14" i="107"/>
  <c r="B14" i="104"/>
  <c r="A27" i="37"/>
  <c r="A17" i="38" s="1"/>
  <c r="B5" i="81" s="1"/>
  <c r="A6" i="2" s="1"/>
  <c r="B5" i="102" s="1"/>
  <c r="B6" i="107" s="1"/>
  <c r="A27" i="112"/>
  <c r="A32" i="37"/>
  <c r="A22" i="38" s="1"/>
  <c r="B10" i="81" s="1"/>
  <c r="A11" i="2" s="1"/>
  <c r="B10" i="102" s="1"/>
  <c r="B11" i="105" s="1"/>
  <c r="A32" i="112"/>
  <c r="A29" i="37"/>
  <c r="A19" i="38" s="1"/>
  <c r="B7" i="81" s="1"/>
  <c r="A8" i="2" s="1"/>
  <c r="B7" i="102" s="1"/>
  <c r="B8" i="105" s="1"/>
  <c r="A29" i="112"/>
  <c r="A28" i="37"/>
  <c r="A18" i="38" s="1"/>
  <c r="B6" i="81" s="1"/>
  <c r="A7" i="2" s="1"/>
  <c r="A8" i="98" s="1"/>
  <c r="A4" i="109" s="1"/>
  <c r="A17" i="109" s="1"/>
  <c r="A30" i="109" s="1"/>
  <c r="A28" i="112"/>
  <c r="A30" i="37"/>
  <c r="A20" i="38" s="1"/>
  <c r="B8" i="81" s="1"/>
  <c r="A9" i="2" s="1"/>
  <c r="B8" i="102" s="1"/>
  <c r="B9" i="104" s="1"/>
  <c r="A30" i="112"/>
  <c r="A214" i="98"/>
  <c r="A25" i="98"/>
  <c r="A35" i="98" s="1"/>
  <c r="A195" i="98" s="1"/>
  <c r="A355" i="98" s="1"/>
  <c r="A21" i="36"/>
  <c r="B6" i="105"/>
  <c r="A23" i="36"/>
  <c r="B11" i="104"/>
  <c r="D3" i="61"/>
  <c r="A9" i="98" l="1"/>
  <c r="B6" i="102"/>
  <c r="B7" i="107" s="1"/>
  <c r="A175" i="98"/>
  <c r="A335" i="98" s="1"/>
  <c r="B8" i="104"/>
  <c r="A12" i="98"/>
  <c r="A8" i="109" s="1"/>
  <c r="A21" i="109" s="1"/>
  <c r="A34" i="109" s="1"/>
  <c r="B6" i="104"/>
  <c r="A7" i="98"/>
  <c r="A3" i="109" s="1"/>
  <c r="A16" i="109" s="1"/>
  <c r="A29" i="109" s="1"/>
  <c r="B8" i="107"/>
  <c r="A10" i="98"/>
  <c r="A20" i="98" s="1"/>
  <c r="A30" i="98" s="1"/>
  <c r="A190" i="98" s="1"/>
  <c r="A350" i="98" s="1"/>
  <c r="A18" i="98"/>
  <c r="A28" i="98" s="1"/>
  <c r="A188" i="98" s="1"/>
  <c r="A348" i="98" s="1"/>
  <c r="B11" i="107"/>
  <c r="A168" i="98"/>
  <c r="A328" i="98" s="1"/>
  <c r="A33" i="37"/>
  <c r="A23" i="38" s="1"/>
  <c r="B11" i="81" s="1"/>
  <c r="A12" i="2" s="1"/>
  <c r="A13" i="98" s="1"/>
  <c r="A173" i="98" s="1"/>
  <c r="A333" i="98" s="1"/>
  <c r="A33" i="112"/>
  <c r="A31" i="37"/>
  <c r="A21" i="38" s="1"/>
  <c r="B9" i="81" s="1"/>
  <c r="A10" i="2" s="1"/>
  <c r="A11" i="98" s="1"/>
  <c r="A171" i="98" s="1"/>
  <c r="A331" i="98" s="1"/>
  <c r="A31" i="112"/>
  <c r="M6" i="102"/>
  <c r="D5" i="61"/>
  <c r="M16" i="102" s="1"/>
  <c r="B9" i="107"/>
  <c r="A178" i="98"/>
  <c r="A338" i="98" s="1"/>
  <c r="B9" i="105"/>
  <c r="A19" i="98"/>
  <c r="A5" i="109"/>
  <c r="A18" i="109" s="1"/>
  <c r="A31" i="109" s="1"/>
  <c r="M14" i="102"/>
  <c r="B7" i="105"/>
  <c r="A185" i="98"/>
  <c r="A345" i="98" s="1"/>
  <c r="A172" i="98"/>
  <c r="A332" i="98" s="1"/>
  <c r="A169" i="98"/>
  <c r="A329" i="98" s="1"/>
  <c r="A65" i="98"/>
  <c r="A225" i="98" s="1"/>
  <c r="A45" i="98"/>
  <c r="A17" i="98"/>
  <c r="B11" i="102"/>
  <c r="A334" i="98"/>
  <c r="B9" i="102" l="1"/>
  <c r="B7" i="104"/>
  <c r="A22" i="98"/>
  <c r="A42" i="98" s="1"/>
  <c r="A202" i="98" s="1"/>
  <c r="A170" i="98"/>
  <c r="A330" i="98" s="1"/>
  <c r="A21" i="98"/>
  <c r="A31" i="98" s="1"/>
  <c r="A191" i="98" s="1"/>
  <c r="A351" i="98" s="1"/>
  <c r="A6" i="109"/>
  <c r="A19" i="109" s="1"/>
  <c r="A32" i="109" s="1"/>
  <c r="A9" i="109"/>
  <c r="A22" i="109" s="1"/>
  <c r="A35" i="109" s="1"/>
  <c r="A58" i="98"/>
  <c r="A218" i="98" s="1"/>
  <c r="A238" i="98" s="1"/>
  <c r="A38" i="98"/>
  <c r="A48" i="98" s="1"/>
  <c r="A23" i="98"/>
  <c r="A33" i="98" s="1"/>
  <c r="A193" i="98" s="1"/>
  <c r="A353" i="98" s="1"/>
  <c r="A167" i="98"/>
  <c r="A327" i="98" s="1"/>
  <c r="A7" i="109"/>
  <c r="A20" i="109" s="1"/>
  <c r="A33" i="109" s="1"/>
  <c r="M17" i="102"/>
  <c r="A57" i="98"/>
  <c r="A77" i="98" s="1"/>
  <c r="A97" i="98" s="1"/>
  <c r="A87" i="98" s="1"/>
  <c r="A247" i="98" s="1"/>
  <c r="A407" i="98" s="1"/>
  <c r="A27" i="98"/>
  <c r="A187" i="98" s="1"/>
  <c r="A347" i="98" s="1"/>
  <c r="A179" i="98"/>
  <c r="A339" i="98" s="1"/>
  <c r="A29" i="98"/>
  <c r="A189" i="98" s="1"/>
  <c r="A349" i="98" s="1"/>
  <c r="A385" i="98"/>
  <c r="A75" i="98"/>
  <c r="A235" i="98" s="1"/>
  <c r="A395" i="98" s="1"/>
  <c r="A68" i="98"/>
  <c r="A228" i="98" s="1"/>
  <c r="A388" i="98" s="1"/>
  <c r="A60" i="98"/>
  <c r="A70" i="98" s="1"/>
  <c r="A230" i="98" s="1"/>
  <c r="A390" i="98" s="1"/>
  <c r="A180" i="98"/>
  <c r="A340" i="98" s="1"/>
  <c r="A40" i="98"/>
  <c r="A59" i="98"/>
  <c r="A39" i="98"/>
  <c r="A199" i="98" s="1"/>
  <c r="A359" i="98" s="1"/>
  <c r="B10" i="107"/>
  <c r="B10" i="105"/>
  <c r="B12" i="107"/>
  <c r="B12" i="105"/>
  <c r="A205" i="98"/>
  <c r="A365" i="98" s="1"/>
  <c r="A364" i="98"/>
  <c r="A344" i="98"/>
  <c r="A181" i="98"/>
  <c r="A341" i="98" s="1"/>
  <c r="A183" i="98"/>
  <c r="A343" i="98" s="1"/>
  <c r="A78" i="98"/>
  <c r="A384" i="98"/>
  <c r="A85" i="98"/>
  <c r="A105" i="98" s="1"/>
  <c r="A95" i="98" s="1"/>
  <c r="A255" i="98" s="1"/>
  <c r="A415" i="98" s="1"/>
  <c r="A55" i="98"/>
  <c r="A177" i="98"/>
  <c r="A337" i="98" s="1"/>
  <c r="A37" i="98"/>
  <c r="B12" i="104"/>
  <c r="B10" i="104"/>
  <c r="A104" i="98"/>
  <c r="A94" i="98" s="1"/>
  <c r="A254" i="98" s="1"/>
  <c r="A414" i="98" s="1"/>
  <c r="A43" i="98"/>
  <c r="A63" i="98"/>
  <c r="A41" i="98"/>
  <c r="A62" i="98" l="1"/>
  <c r="A198" i="98"/>
  <c r="A358" i="98" s="1"/>
  <c r="A32" i="98"/>
  <c r="A192" i="98" s="1"/>
  <c r="A352" i="98" s="1"/>
  <c r="A61" i="98"/>
  <c r="A182" i="98"/>
  <c r="A342" i="98" s="1"/>
  <c r="A217" i="98"/>
  <c r="A377" i="98" s="1"/>
  <c r="A67" i="98"/>
  <c r="A227" i="98" s="1"/>
  <c r="A387" i="98" s="1"/>
  <c r="A52" i="98"/>
  <c r="A212" i="98" s="1"/>
  <c r="A245" i="98"/>
  <c r="A405" i="98" s="1"/>
  <c r="A221" i="98"/>
  <c r="A381" i="98" s="1"/>
  <c r="A71" i="98"/>
  <c r="A231" i="98" s="1"/>
  <c r="A391" i="98" s="1"/>
  <c r="A378" i="98"/>
  <c r="A223" i="98"/>
  <c r="A243" i="98" s="1"/>
  <c r="A403" i="98" s="1"/>
  <c r="A73" i="98"/>
  <c r="A233" i="98" s="1"/>
  <c r="A393" i="98" s="1"/>
  <c r="A219" i="98"/>
  <c r="A239" i="98" s="1"/>
  <c r="A399" i="98" s="1"/>
  <c r="A69" i="98"/>
  <c r="A229" i="98" s="1"/>
  <c r="A389" i="98" s="1"/>
  <c r="A222" i="98"/>
  <c r="A242" i="98" s="1"/>
  <c r="A72" i="98"/>
  <c r="A232" i="98" s="1"/>
  <c r="A392" i="98" s="1"/>
  <c r="A197" i="98"/>
  <c r="A357" i="98" s="1"/>
  <c r="A49" i="98"/>
  <c r="A209" i="98" s="1"/>
  <c r="A369" i="98" s="1"/>
  <c r="A200" i="98"/>
  <c r="A360" i="98" s="1"/>
  <c r="A50" i="98"/>
  <c r="A210" i="98" s="1"/>
  <c r="A370" i="98" s="1"/>
  <c r="A220" i="98"/>
  <c r="A80" i="98"/>
  <c r="A100" i="98" s="1"/>
  <c r="A90" i="98" s="1"/>
  <c r="A250" i="98" s="1"/>
  <c r="A410" i="98" s="1"/>
  <c r="A79" i="98"/>
  <c r="A99" i="98" s="1"/>
  <c r="A89" i="98" s="1"/>
  <c r="A249" i="98" s="1"/>
  <c r="A409" i="98" s="1"/>
  <c r="A82" i="98"/>
  <c r="A208" i="98"/>
  <c r="A368" i="98" s="1"/>
  <c r="A374" i="98"/>
  <c r="A203" i="98"/>
  <c r="A363" i="98" s="1"/>
  <c r="A362" i="98"/>
  <c r="A201" i="98"/>
  <c r="A361" i="98" s="1"/>
  <c r="A215" i="98"/>
  <c r="A375" i="98" s="1"/>
  <c r="A265" i="98"/>
  <c r="A425" i="98" s="1"/>
  <c r="A115" i="98"/>
  <c r="A83" i="98"/>
  <c r="A103" i="98" s="1"/>
  <c r="A93" i="98" s="1"/>
  <c r="A253" i="98" s="1"/>
  <c r="A413" i="98" s="1"/>
  <c r="A81" i="98"/>
  <c r="A101" i="98" s="1"/>
  <c r="A91" i="98" s="1"/>
  <c r="A251" i="98" s="1"/>
  <c r="A411" i="98" s="1"/>
  <c r="A47" i="98"/>
  <c r="A207" i="98" s="1"/>
  <c r="A367" i="98" s="1"/>
  <c r="A114" i="98"/>
  <c r="A264" i="98"/>
  <c r="A424" i="98" s="1"/>
  <c r="A107" i="98"/>
  <c r="A257" i="98"/>
  <c r="A417" i="98" s="1"/>
  <c r="A98" i="98"/>
  <c r="A88" i="98" s="1"/>
  <c r="A248" i="98" s="1"/>
  <c r="A408" i="98" s="1"/>
  <c r="A53" i="98"/>
  <c r="A51" i="98"/>
  <c r="A259" i="98" l="1"/>
  <c r="A419" i="98" s="1"/>
  <c r="A111" i="98"/>
  <c r="A271" i="98" s="1"/>
  <c r="A431" i="98" s="1"/>
  <c r="A241" i="98"/>
  <c r="A401" i="98" s="1"/>
  <c r="A237" i="98"/>
  <c r="A397" i="98" s="1"/>
  <c r="A382" i="98"/>
  <c r="A383" i="98"/>
  <c r="A379" i="98"/>
  <c r="A260" i="98"/>
  <c r="A420" i="98" s="1"/>
  <c r="A110" i="98"/>
  <c r="A240" i="98"/>
  <c r="A400" i="98" s="1"/>
  <c r="A380" i="98"/>
  <c r="A109" i="98"/>
  <c r="A372" i="98"/>
  <c r="A211" i="98"/>
  <c r="A371" i="98" s="1"/>
  <c r="A213" i="98"/>
  <c r="A373" i="98" s="1"/>
  <c r="A127" i="98"/>
  <c r="A287" i="98" s="1"/>
  <c r="A447" i="98" s="1"/>
  <c r="A117" i="98"/>
  <c r="A274" i="98"/>
  <c r="A434" i="98" s="1"/>
  <c r="A134" i="98"/>
  <c r="A294" i="98" s="1"/>
  <c r="A454" i="98" s="1"/>
  <c r="A124" i="98"/>
  <c r="A275" i="98"/>
  <c r="A435" i="98" s="1"/>
  <c r="A125" i="98"/>
  <c r="A135" i="98"/>
  <c r="A295" i="98" s="1"/>
  <c r="A455" i="98" s="1"/>
  <c r="A261" i="98"/>
  <c r="A421" i="98" s="1"/>
  <c r="A113" i="98"/>
  <c r="A263" i="98"/>
  <c r="A423" i="98" s="1"/>
  <c r="A398" i="98"/>
  <c r="A404" i="98"/>
  <c r="A267" i="98"/>
  <c r="A427" i="98" s="1"/>
  <c r="A108" i="98"/>
  <c r="A258" i="98"/>
  <c r="A418" i="98" s="1"/>
  <c r="A102" i="98"/>
  <c r="A92" i="98" s="1"/>
  <c r="A252" i="98" s="1"/>
  <c r="A412" i="98" s="1"/>
  <c r="A131" i="98" l="1"/>
  <c r="A291" i="98" s="1"/>
  <c r="A451" i="98" s="1"/>
  <c r="A121" i="98"/>
  <c r="A281" i="98" s="1"/>
  <c r="A441" i="98" s="1"/>
  <c r="A269" i="98"/>
  <c r="A429" i="98" s="1"/>
  <c r="A270" i="98"/>
  <c r="A430" i="98" s="1"/>
  <c r="A130" i="98"/>
  <c r="A290" i="98" s="1"/>
  <c r="A450" i="98" s="1"/>
  <c r="A120" i="98"/>
  <c r="A280" i="98" s="1"/>
  <c r="A440" i="98" s="1"/>
  <c r="A129" i="98"/>
  <c r="A289" i="98" s="1"/>
  <c r="A449" i="98" s="1"/>
  <c r="A119" i="98"/>
  <c r="A279" i="98" s="1"/>
  <c r="A439" i="98" s="1"/>
  <c r="A155" i="98"/>
  <c r="A165" i="98" s="1"/>
  <c r="A285" i="98"/>
  <c r="A445" i="98" s="1"/>
  <c r="A145" i="98"/>
  <c r="A305" i="98" s="1"/>
  <c r="A465" i="98" s="1"/>
  <c r="A273" i="98"/>
  <c r="A433" i="98" s="1"/>
  <c r="A123" i="98"/>
  <c r="A133" i="98"/>
  <c r="A293" i="98" s="1"/>
  <c r="A453" i="98" s="1"/>
  <c r="A268" i="98"/>
  <c r="A428" i="98" s="1"/>
  <c r="A118" i="98"/>
  <c r="A128" i="98"/>
  <c r="A288" i="98" s="1"/>
  <c r="A448" i="98" s="1"/>
  <c r="A402" i="98"/>
  <c r="A284" i="98"/>
  <c r="A444" i="98" s="1"/>
  <c r="A277" i="98"/>
  <c r="A437" i="98" s="1"/>
  <c r="A112" i="98"/>
  <c r="A262" i="98"/>
  <c r="A422" i="98" s="1"/>
  <c r="A141" i="98" l="1"/>
  <c r="A301" i="98" s="1"/>
  <c r="A461" i="98" s="1"/>
  <c r="A151" i="98"/>
  <c r="A161" i="98" s="1"/>
  <c r="A321" i="98" s="1"/>
  <c r="A481" i="98" s="1"/>
  <c r="A150" i="98"/>
  <c r="A160" i="98" s="1"/>
  <c r="A320" i="98" s="1"/>
  <c r="A480" i="98" s="1"/>
  <c r="A140" i="98"/>
  <c r="A300" i="98" s="1"/>
  <c r="A460" i="98" s="1"/>
  <c r="A272" i="98"/>
  <c r="A432" i="98" s="1"/>
  <c r="A132" i="98"/>
  <c r="A292" i="98" s="1"/>
  <c r="A452" i="98" s="1"/>
  <c r="A122" i="98"/>
  <c r="A143" i="98"/>
  <c r="A303" i="98" s="1"/>
  <c r="A463" i="98" s="1"/>
  <c r="A283" i="98"/>
  <c r="A443" i="98" s="1"/>
  <c r="A153" i="98"/>
  <c r="A163" i="98" s="1"/>
  <c r="A315" i="98"/>
  <c r="A475" i="98" s="1"/>
  <c r="A147" i="98"/>
  <c r="A157" i="98" s="1"/>
  <c r="A154" i="98"/>
  <c r="A164" i="98" s="1"/>
  <c r="A137" i="98"/>
  <c r="A297" i="98" s="1"/>
  <c r="A457" i="98" s="1"/>
  <c r="A144" i="98"/>
  <c r="A304" i="98" s="1"/>
  <c r="A464" i="98" s="1"/>
  <c r="A139" i="98"/>
  <c r="A299" i="98" s="1"/>
  <c r="A459" i="98" s="1"/>
  <c r="A149" i="98"/>
  <c r="A278" i="98"/>
  <c r="A438" i="98" s="1"/>
  <c r="A311" i="98" l="1"/>
  <c r="A471" i="98" s="1"/>
  <c r="A310" i="98"/>
  <c r="A470" i="98" s="1"/>
  <c r="A309" i="98"/>
  <c r="A469" i="98" s="1"/>
  <c r="A159" i="98"/>
  <c r="A325" i="98"/>
  <c r="A485" i="98" s="1"/>
  <c r="A313" i="98"/>
  <c r="A473" i="98" s="1"/>
  <c r="A314" i="98"/>
  <c r="A474" i="98" s="1"/>
  <c r="A307" i="98"/>
  <c r="A467" i="98" s="1"/>
  <c r="A138" i="98"/>
  <c r="A298" i="98" s="1"/>
  <c r="A458" i="98" s="1"/>
  <c r="A148" i="98"/>
  <c r="A317" i="98"/>
  <c r="A477" i="98" s="1"/>
  <c r="A324" i="98"/>
  <c r="A484" i="98" s="1"/>
  <c r="A282" i="98"/>
  <c r="A442" i="98" s="1"/>
  <c r="A308" i="98" l="1"/>
  <c r="A468" i="98" s="1"/>
  <c r="A158" i="98"/>
  <c r="A318" i="98" s="1"/>
  <c r="A478" i="98" s="1"/>
  <c r="A323" i="98"/>
  <c r="A483" i="98" s="1"/>
  <c r="A319" i="98"/>
  <c r="A479" i="98" s="1"/>
  <c r="A142" i="98"/>
  <c r="A302" i="98" s="1"/>
  <c r="A462" i="98" s="1"/>
  <c r="A152" i="98"/>
  <c r="A162" i="98" s="1"/>
  <c r="K10" i="8"/>
  <c r="K8" i="8"/>
  <c r="K14" i="8"/>
  <c r="R15" i="9" l="1"/>
  <c r="L15" i="9"/>
  <c r="Q15" i="9"/>
  <c r="K15" i="9"/>
  <c r="A312" i="98"/>
  <c r="A472" i="98" s="1"/>
  <c r="K13" i="8"/>
  <c r="K9" i="8"/>
  <c r="K11" i="8"/>
  <c r="L15" i="6" l="1"/>
  <c r="P15" i="9"/>
  <c r="F16" i="102" s="1"/>
  <c r="G14" i="102"/>
  <c r="P15" i="10"/>
  <c r="Q15" i="6"/>
  <c r="K15" i="6"/>
  <c r="K15" i="10"/>
  <c r="R15" i="10"/>
  <c r="L15" i="10"/>
  <c r="A322" i="98"/>
  <c r="A482" i="98" s="1"/>
  <c r="K12" i="8"/>
  <c r="L12" i="8"/>
  <c r="L10" i="8"/>
  <c r="L8" i="8"/>
  <c r="L14" i="8"/>
  <c r="J20" i="6"/>
  <c r="K19" i="6"/>
  <c r="D20" i="6"/>
  <c r="L19" i="6"/>
  <c r="G16" i="102" l="1"/>
  <c r="F14" i="102"/>
  <c r="F17" i="102" s="1"/>
  <c r="R15" i="6"/>
  <c r="L9" i="8"/>
  <c r="L13" i="8"/>
  <c r="L11" i="8"/>
  <c r="K20" i="6"/>
  <c r="G17" i="102" l="1"/>
  <c r="Q20" i="6"/>
  <c r="J14" i="16" l="1"/>
  <c r="L6" i="21" l="1"/>
  <c r="L9" i="21"/>
  <c r="L14" i="21"/>
  <c r="L17" i="21"/>
  <c r="L18" i="21"/>
  <c r="L20" i="21"/>
  <c r="I6" i="21"/>
  <c r="H9" i="21"/>
  <c r="I9" i="21" s="1"/>
  <c r="H14" i="21"/>
  <c r="I14" i="21" s="1"/>
  <c r="O19" i="21"/>
  <c r="P19" i="21" s="1"/>
  <c r="M6" i="21" l="1"/>
  <c r="N6" i="21" s="1"/>
  <c r="O6" i="21" s="1"/>
  <c r="H21" i="21"/>
  <c r="L21" i="21"/>
  <c r="M9" i="21"/>
  <c r="N9" i="21" s="1"/>
  <c r="O9" i="21" s="1"/>
  <c r="I21" i="21"/>
  <c r="M18" i="21"/>
  <c r="N18" i="21" s="1"/>
  <c r="O18" i="21" s="1"/>
  <c r="P18" i="21" s="1"/>
  <c r="M17" i="21"/>
  <c r="N17" i="21" s="1"/>
  <c r="O17" i="21" s="1"/>
  <c r="M20" i="21"/>
  <c r="N20" i="21" s="1"/>
  <c r="O20" i="21" s="1"/>
  <c r="M14" i="21"/>
  <c r="N14" i="21" s="1"/>
  <c r="O14" i="21" s="1"/>
  <c r="P6" i="21" l="1"/>
  <c r="N21" i="21"/>
  <c r="P9" i="21"/>
  <c r="O11" i="102"/>
  <c r="P11" i="102" s="1"/>
  <c r="P14" i="21"/>
  <c r="O6" i="102"/>
  <c r="P6" i="102" s="1"/>
  <c r="O13" i="102"/>
  <c r="P13" i="102" s="1"/>
  <c r="O12" i="102"/>
  <c r="P12" i="102" s="1"/>
  <c r="O10" i="102"/>
  <c r="P10" i="102" s="1"/>
  <c r="O8" i="102"/>
  <c r="P8" i="102" s="1"/>
  <c r="O7" i="102"/>
  <c r="M21" i="21"/>
  <c r="P20" i="21" l="1"/>
  <c r="P17" i="21"/>
  <c r="O21" i="21"/>
  <c r="O5" i="102"/>
  <c r="P5" i="102" s="1"/>
  <c r="C12" i="34"/>
  <c r="E12" i="34" s="1"/>
  <c r="C11" i="34"/>
  <c r="E11" i="34" s="1"/>
  <c r="O16" i="102" l="1"/>
  <c r="O14" i="102"/>
  <c r="P21" i="21"/>
  <c r="E20" i="34"/>
  <c r="E33" i="34" s="1"/>
  <c r="P22" i="21" l="1"/>
  <c r="O17" i="102"/>
  <c r="X4" i="86"/>
  <c r="Z4" i="86" s="1"/>
  <c r="X10" i="86"/>
  <c r="D35" i="37"/>
  <c r="D31" i="37"/>
  <c r="D29" i="37"/>
  <c r="D32" i="37"/>
  <c r="D34" i="37"/>
  <c r="D30" i="37"/>
  <c r="D33" i="37"/>
  <c r="D28" i="37"/>
  <c r="C4" i="85"/>
  <c r="C5" i="85" s="1"/>
  <c r="C6" i="85" s="1"/>
  <c r="C7" i="85" s="1"/>
  <c r="E23" i="34"/>
  <c r="Z5" i="102" s="1"/>
  <c r="AC5" i="102" s="1"/>
  <c r="E29" i="34"/>
  <c r="Z11" i="102" s="1"/>
  <c r="AC11" i="102" s="1"/>
  <c r="E24" i="34"/>
  <c r="Z6" i="102" s="1"/>
  <c r="AC6" i="102" s="1"/>
  <c r="E27" i="34"/>
  <c r="Z9" i="102" s="1"/>
  <c r="AC9" i="102" s="1"/>
  <c r="E31" i="34"/>
  <c r="Z13" i="102" s="1"/>
  <c r="AC13" i="102" s="1"/>
  <c r="E25" i="34"/>
  <c r="Z7" i="102" s="1"/>
  <c r="AC7" i="102" s="1"/>
  <c r="E28" i="34"/>
  <c r="Z10" i="102" s="1"/>
  <c r="AC10" i="102" s="1"/>
  <c r="E26" i="34"/>
  <c r="Z8" i="102" s="1"/>
  <c r="AC8" i="102" s="1"/>
  <c r="E30" i="34"/>
  <c r="Z12" i="102" s="1"/>
  <c r="AC12" i="102" s="1"/>
  <c r="L15" i="87" l="1"/>
  <c r="C7" i="94"/>
  <c r="D7" i="85"/>
  <c r="O15" i="87" s="1"/>
  <c r="I10" i="86"/>
  <c r="I4" i="86"/>
  <c r="J4" i="86" s="1"/>
  <c r="I4" i="93"/>
  <c r="J4" i="93" s="1"/>
  <c r="I4" i="90"/>
  <c r="I5" i="90" s="1"/>
  <c r="I6" i="90" s="1"/>
  <c r="J6" i="90" s="1"/>
  <c r="G9" i="97" s="1"/>
  <c r="G346" i="98" s="1"/>
  <c r="G347" i="98" s="1"/>
  <c r="G348" i="98" s="1"/>
  <c r="G349" i="98" s="1"/>
  <c r="G350" i="98" s="1"/>
  <c r="G351" i="98" s="1"/>
  <c r="G352" i="98" s="1"/>
  <c r="G353" i="98" s="1"/>
  <c r="G354" i="98" s="1"/>
  <c r="G355" i="98" s="1"/>
  <c r="C6" i="94"/>
  <c r="L14" i="87"/>
  <c r="D6" i="85"/>
  <c r="O14" i="87" s="1"/>
  <c r="Z14" i="102"/>
  <c r="AC14" i="102"/>
  <c r="X4" i="90"/>
  <c r="X5" i="90" s="1"/>
  <c r="X6" i="90" s="1"/>
  <c r="X4" i="93"/>
  <c r="E32" i="34"/>
  <c r="Z16" i="102" s="1"/>
  <c r="L15" i="95" l="1"/>
  <c r="C7" i="96"/>
  <c r="D7" i="94"/>
  <c r="Z17" i="102"/>
  <c r="L86" i="98"/>
  <c r="L87" i="98" s="1"/>
  <c r="L88" i="98" s="1"/>
  <c r="L89" i="98" s="1"/>
  <c r="L90" i="98" s="1"/>
  <c r="L91" i="98" s="1"/>
  <c r="L92" i="98" s="1"/>
  <c r="L93" i="98" s="1"/>
  <c r="L94" i="98" s="1"/>
  <c r="L95" i="98" s="1"/>
  <c r="M15" i="87"/>
  <c r="P15" i="87" s="1"/>
  <c r="I7" i="86"/>
  <c r="J7" i="86" s="1"/>
  <c r="I5" i="86"/>
  <c r="J5" i="86" s="1"/>
  <c r="I8" i="86"/>
  <c r="J8" i="86" s="1"/>
  <c r="I5" i="93"/>
  <c r="J5" i="93" s="1"/>
  <c r="J4" i="90"/>
  <c r="G7" i="97" s="1"/>
  <c r="L66" i="98"/>
  <c r="M14" i="87"/>
  <c r="C6" i="96"/>
  <c r="L14" i="95"/>
  <c r="D6" i="94"/>
  <c r="X5" i="93"/>
  <c r="X6" i="93" s="1"/>
  <c r="Z6" i="93" s="1"/>
  <c r="L9" i="95" s="1"/>
  <c r="L186" i="98" s="1"/>
  <c r="L187" i="98" s="1"/>
  <c r="L188" i="98" s="1"/>
  <c r="L189" i="98" s="1"/>
  <c r="L190" i="98" s="1"/>
  <c r="L191" i="98" s="1"/>
  <c r="L192" i="98" s="1"/>
  <c r="L193" i="98" s="1"/>
  <c r="L194" i="98" s="1"/>
  <c r="L195" i="98" s="1"/>
  <c r="Z4" i="93"/>
  <c r="X7" i="90"/>
  <c r="X5" i="86"/>
  <c r="X7" i="86"/>
  <c r="X8" i="86"/>
  <c r="X11" i="86" s="1"/>
  <c r="I7" i="90"/>
  <c r="J5" i="90"/>
  <c r="Y4" i="90"/>
  <c r="Y6" i="90" s="1"/>
  <c r="Z6" i="90" s="1"/>
  <c r="L9" i="97" s="1"/>
  <c r="L346" i="98" s="1"/>
  <c r="L347" i="98" s="1"/>
  <c r="L348" i="98" s="1"/>
  <c r="L349" i="98" s="1"/>
  <c r="L350" i="98" s="1"/>
  <c r="L351" i="98" s="1"/>
  <c r="L352" i="98" s="1"/>
  <c r="L353" i="98" s="1"/>
  <c r="L354" i="98" s="1"/>
  <c r="L355" i="98" s="1"/>
  <c r="L15" i="97" l="1"/>
  <c r="D7" i="96"/>
  <c r="L246" i="98"/>
  <c r="L247" i="98" s="1"/>
  <c r="M15" i="95"/>
  <c r="I6" i="86"/>
  <c r="J6" i="86" s="1"/>
  <c r="G9" i="87" s="1"/>
  <c r="G26" i="98" s="1"/>
  <c r="I6" i="93"/>
  <c r="J6" i="93" s="1"/>
  <c r="G9" i="95" s="1"/>
  <c r="G186" i="98" s="1"/>
  <c r="G187" i="98" s="1"/>
  <c r="I11" i="86"/>
  <c r="I7" i="93"/>
  <c r="J7" i="93" s="1"/>
  <c r="P14" i="87"/>
  <c r="L14" i="97"/>
  <c r="D6" i="96"/>
  <c r="L226" i="98"/>
  <c r="M14" i="95"/>
  <c r="L68" i="98"/>
  <c r="Q68" i="98" s="1"/>
  <c r="L72" i="98"/>
  <c r="Q72" i="98" s="1"/>
  <c r="L67" i="98"/>
  <c r="Q67" i="98" s="1"/>
  <c r="L69" i="98"/>
  <c r="Q69" i="98" s="1"/>
  <c r="L73" i="98"/>
  <c r="Q73" i="98" s="1"/>
  <c r="L70" i="98"/>
  <c r="Q70" i="98" s="1"/>
  <c r="L74" i="98"/>
  <c r="Q74" i="98" s="1"/>
  <c r="L71" i="98"/>
  <c r="Q71" i="98" s="1"/>
  <c r="L75" i="98"/>
  <c r="Q75" i="98" s="1"/>
  <c r="X6" i="86"/>
  <c r="Z6" i="86" s="1"/>
  <c r="L9" i="87" s="1"/>
  <c r="L26" i="98" s="1"/>
  <c r="L27" i="98" s="1"/>
  <c r="L28" i="98" s="1"/>
  <c r="L29" i="98" s="1"/>
  <c r="L30" i="98" s="1"/>
  <c r="L31" i="98" s="1"/>
  <c r="L32" i="98" s="1"/>
  <c r="L33" i="98" s="1"/>
  <c r="L34" i="98" s="1"/>
  <c r="L35" i="98" s="1"/>
  <c r="Z5" i="86"/>
  <c r="I12" i="3"/>
  <c r="J12" i="3" s="1"/>
  <c r="Q12" i="3" s="1"/>
  <c r="X8" i="90"/>
  <c r="Z4" i="90"/>
  <c r="L7" i="97" s="1"/>
  <c r="X7" i="93"/>
  <c r="Z5" i="93"/>
  <c r="I8" i="90"/>
  <c r="J8" i="90" s="1"/>
  <c r="J7" i="90"/>
  <c r="Y5" i="90"/>
  <c r="Z5" i="90" s="1"/>
  <c r="Y7" i="90"/>
  <c r="Z7" i="90" s="1"/>
  <c r="Z7" i="86"/>
  <c r="Y8" i="93"/>
  <c r="Z8" i="86"/>
  <c r="Q7" i="3"/>
  <c r="L248" i="98" l="1"/>
  <c r="Q247" i="98"/>
  <c r="L406" i="98"/>
  <c r="L407" i="98" s="1"/>
  <c r="M15" i="97"/>
  <c r="I8" i="93"/>
  <c r="J8" i="93" s="1"/>
  <c r="G188" i="98"/>
  <c r="G27" i="98"/>
  <c r="Q66" i="98"/>
  <c r="L229" i="98"/>
  <c r="Q229" i="98" s="1"/>
  <c r="L235" i="98"/>
  <c r="Q235" i="98" s="1"/>
  <c r="L228" i="98"/>
  <c r="Q228" i="98" s="1"/>
  <c r="L227" i="98"/>
  <c r="Q227" i="98" s="1"/>
  <c r="L233" i="98"/>
  <c r="Q233" i="98" s="1"/>
  <c r="L232" i="98"/>
  <c r="Q232" i="98" s="1"/>
  <c r="L230" i="98"/>
  <c r="Q230" i="98" s="1"/>
  <c r="L231" i="98"/>
  <c r="Q231" i="98" s="1"/>
  <c r="L234" i="98"/>
  <c r="Q234" i="98" s="1"/>
  <c r="L386" i="98"/>
  <c r="M14" i="97"/>
  <c r="AD11" i="102"/>
  <c r="AD6" i="102"/>
  <c r="X8" i="93"/>
  <c r="Z8" i="93" s="1"/>
  <c r="Z7" i="93"/>
  <c r="Y8" i="90"/>
  <c r="Z8" i="90" s="1"/>
  <c r="K5" i="20"/>
  <c r="L408" i="98" l="1"/>
  <c r="Q407" i="98"/>
  <c r="M5" i="20"/>
  <c r="L16" i="102" s="1"/>
  <c r="L249" i="98"/>
  <c r="Q248" i="98"/>
  <c r="Q226" i="98"/>
  <c r="G189" i="98"/>
  <c r="G28" i="98"/>
  <c r="G29" i="98" s="1"/>
  <c r="G30" i="98" s="1"/>
  <c r="G31" i="98" s="1"/>
  <c r="G32" i="98" s="1"/>
  <c r="G33" i="98" s="1"/>
  <c r="G34" i="98" s="1"/>
  <c r="G35" i="98" s="1"/>
  <c r="R231" i="98"/>
  <c r="H20" i="109" s="1"/>
  <c r="R227" i="98"/>
  <c r="H16" i="109" s="1"/>
  <c r="R230" i="98"/>
  <c r="H19" i="109" s="1"/>
  <c r="R228" i="98"/>
  <c r="H17" i="109" s="1"/>
  <c r="L391" i="98"/>
  <c r="Q391" i="98" s="1"/>
  <c r="L395" i="98"/>
  <c r="Q395" i="98" s="1"/>
  <c r="L388" i="98"/>
  <c r="Q388" i="98" s="1"/>
  <c r="L392" i="98"/>
  <c r="Q392" i="98" s="1"/>
  <c r="L387" i="98"/>
  <c r="Q387" i="98" s="1"/>
  <c r="L389" i="98"/>
  <c r="Q389" i="98" s="1"/>
  <c r="L393" i="98"/>
  <c r="Q393" i="98" s="1"/>
  <c r="L390" i="98"/>
  <c r="Q390" i="98" s="1"/>
  <c r="L394" i="98"/>
  <c r="Q394" i="98" s="1"/>
  <c r="R232" i="98"/>
  <c r="H21" i="109" s="1"/>
  <c r="R235" i="98"/>
  <c r="H24" i="109" s="1"/>
  <c r="R234" i="98"/>
  <c r="H23" i="109" s="1"/>
  <c r="R233" i="98"/>
  <c r="H22" i="109" s="1"/>
  <c r="R229" i="98"/>
  <c r="H18" i="109" s="1"/>
  <c r="F7" i="16"/>
  <c r="F8" i="16"/>
  <c r="F10" i="16"/>
  <c r="F11" i="16"/>
  <c r="F12" i="16"/>
  <c r="F13" i="16"/>
  <c r="F6" i="16"/>
  <c r="L7" i="102" l="1"/>
  <c r="P7" i="102" s="1"/>
  <c r="L250" i="98"/>
  <c r="Q249" i="98"/>
  <c r="L14" i="102"/>
  <c r="L17" i="102" s="1"/>
  <c r="L409" i="98"/>
  <c r="Q408" i="98"/>
  <c r="G190" i="98"/>
  <c r="H25" i="109"/>
  <c r="F14" i="16"/>
  <c r="H11" i="16"/>
  <c r="H7" i="16"/>
  <c r="H6" i="16"/>
  <c r="H10" i="16"/>
  <c r="H13" i="16"/>
  <c r="H8" i="16"/>
  <c r="H12" i="16"/>
  <c r="K12" i="16" s="1"/>
  <c r="L410" i="98" l="1"/>
  <c r="Q409" i="98"/>
  <c r="L251" i="98"/>
  <c r="Q250" i="98"/>
  <c r="G191" i="98"/>
  <c r="K11" i="16"/>
  <c r="I11" i="16"/>
  <c r="K13" i="16"/>
  <c r="Q13" i="102" s="1"/>
  <c r="T13" i="102" s="1"/>
  <c r="I13" i="16"/>
  <c r="K10" i="16"/>
  <c r="Q10" i="102" s="1"/>
  <c r="T10" i="102" s="1"/>
  <c r="I10" i="16"/>
  <c r="Q12" i="102"/>
  <c r="T12" i="102" s="1"/>
  <c r="I12" i="16"/>
  <c r="K6" i="16"/>
  <c r="Q6" i="102" s="1"/>
  <c r="T6" i="102" s="1"/>
  <c r="I6" i="16"/>
  <c r="H14" i="16"/>
  <c r="K8" i="16"/>
  <c r="Q8" i="102" s="1"/>
  <c r="T8" i="102" s="1"/>
  <c r="I8" i="16"/>
  <c r="K7" i="16"/>
  <c r="Q7" i="102" s="1"/>
  <c r="T7" i="102" s="1"/>
  <c r="I7" i="16"/>
  <c r="K9" i="16"/>
  <c r="Q9" i="102" s="1"/>
  <c r="T9" i="102" s="1"/>
  <c r="L252" i="98" l="1"/>
  <c r="Q251" i="98"/>
  <c r="L411" i="98"/>
  <c r="Q410" i="98"/>
  <c r="G192" i="98"/>
  <c r="I14" i="16"/>
  <c r="K15" i="16" s="1"/>
  <c r="Q11" i="102"/>
  <c r="T11" i="102" s="1"/>
  <c r="K14" i="16"/>
  <c r="Q16" i="102" s="1"/>
  <c r="L412" i="98" l="1"/>
  <c r="Q411" i="98"/>
  <c r="L253" i="98"/>
  <c r="Q252" i="98"/>
  <c r="G193" i="98"/>
  <c r="AE11" i="102"/>
  <c r="M11" i="88" s="1"/>
  <c r="Q14" i="102"/>
  <c r="Q17" i="102" s="1"/>
  <c r="T14" i="102"/>
  <c r="K13" i="102"/>
  <c r="K12" i="102"/>
  <c r="K10" i="102"/>
  <c r="K8" i="102"/>
  <c r="K7" i="102"/>
  <c r="L254" i="98" l="1"/>
  <c r="Q253" i="98"/>
  <c r="L413" i="98"/>
  <c r="Q412" i="98"/>
  <c r="G194" i="98"/>
  <c r="M4" i="86"/>
  <c r="N4" i="86" s="1"/>
  <c r="M10" i="86"/>
  <c r="M4" i="90"/>
  <c r="M5" i="90" s="1"/>
  <c r="M4" i="93"/>
  <c r="M5" i="93" s="1"/>
  <c r="K6" i="102"/>
  <c r="K5" i="102"/>
  <c r="M7" i="86" l="1"/>
  <c r="N7" i="86" s="1"/>
  <c r="M5" i="86"/>
  <c r="N5" i="86" s="1"/>
  <c r="H8" i="87" s="1"/>
  <c r="H16" i="98" s="1"/>
  <c r="L414" i="98"/>
  <c r="Q413" i="98"/>
  <c r="M8" i="86"/>
  <c r="N8" i="86" s="1"/>
  <c r="L255" i="98"/>
  <c r="Q255" i="98" s="1"/>
  <c r="Q254" i="98"/>
  <c r="G195" i="98"/>
  <c r="K14" i="102"/>
  <c r="M6" i="86"/>
  <c r="M7" i="90"/>
  <c r="M8" i="90" s="1"/>
  <c r="M6" i="90"/>
  <c r="N6" i="90" s="1"/>
  <c r="H9" i="97" s="1"/>
  <c r="H346" i="98" s="1"/>
  <c r="H347" i="98" s="1"/>
  <c r="H348" i="98" s="1"/>
  <c r="H349" i="98" s="1"/>
  <c r="H350" i="98" s="1"/>
  <c r="H351" i="98" s="1"/>
  <c r="H352" i="98" s="1"/>
  <c r="H353" i="98" s="1"/>
  <c r="H354" i="98" s="1"/>
  <c r="H355" i="98" s="1"/>
  <c r="M7" i="93"/>
  <c r="M8" i="93" s="1"/>
  <c r="M6" i="93"/>
  <c r="N6" i="93" s="1"/>
  <c r="H9" i="95" s="1"/>
  <c r="H186" i="98" s="1"/>
  <c r="H187" i="98" s="1"/>
  <c r="N4" i="93"/>
  <c r="H7" i="95" s="1"/>
  <c r="H166" i="98" s="1"/>
  <c r="AE6" i="102"/>
  <c r="M6" i="88" s="1"/>
  <c r="N4" i="90"/>
  <c r="H7" i="97" s="1"/>
  <c r="H326" i="98" s="1"/>
  <c r="J14" i="102"/>
  <c r="J17" i="102" s="1"/>
  <c r="H7" i="87"/>
  <c r="H6" i="98" s="1"/>
  <c r="Q15" i="10"/>
  <c r="Q246" i="98" l="1"/>
  <c r="L415" i="98"/>
  <c r="Q415" i="98" s="1"/>
  <c r="Q414" i="98"/>
  <c r="M11" i="86"/>
  <c r="H188" i="98"/>
  <c r="N6" i="86"/>
  <c r="H9" i="87" s="1"/>
  <c r="H26" i="98" s="1"/>
  <c r="P14" i="102"/>
  <c r="H331" i="98"/>
  <c r="H335" i="98"/>
  <c r="H328" i="98"/>
  <c r="H332" i="98"/>
  <c r="H330" i="98"/>
  <c r="H334" i="98"/>
  <c r="H329" i="98"/>
  <c r="H333" i="98"/>
  <c r="H18" i="98"/>
  <c r="H22" i="98"/>
  <c r="H20" i="98"/>
  <c r="H24" i="98"/>
  <c r="H21" i="98"/>
  <c r="H25" i="98"/>
  <c r="H19" i="98"/>
  <c r="H23" i="98"/>
  <c r="H171" i="98"/>
  <c r="H175" i="98"/>
  <c r="H168" i="98"/>
  <c r="H172" i="98"/>
  <c r="H167" i="98"/>
  <c r="H169" i="98"/>
  <c r="H173" i="98"/>
  <c r="H170" i="98"/>
  <c r="H174" i="98"/>
  <c r="H8" i="98"/>
  <c r="H12" i="98"/>
  <c r="H7" i="98"/>
  <c r="H10" i="98"/>
  <c r="H9" i="98"/>
  <c r="H13" i="98"/>
  <c r="H11" i="98"/>
  <c r="H15" i="98"/>
  <c r="H14" i="98"/>
  <c r="N8" i="93"/>
  <c r="H11" i="95" s="1"/>
  <c r="H206" i="98" s="1"/>
  <c r="H327" i="98"/>
  <c r="H17" i="98"/>
  <c r="N7" i="93"/>
  <c r="H10" i="95" s="1"/>
  <c r="H196" i="98" s="1"/>
  <c r="N5" i="90"/>
  <c r="H8" i="97" s="1"/>
  <c r="H189" i="98" l="1"/>
  <c r="H27" i="98"/>
  <c r="H208" i="98"/>
  <c r="H212" i="98"/>
  <c r="H207" i="98"/>
  <c r="H209" i="98"/>
  <c r="H213" i="98"/>
  <c r="H211" i="98"/>
  <c r="H210" i="98"/>
  <c r="H214" i="98"/>
  <c r="H215" i="98"/>
  <c r="H200" i="98"/>
  <c r="H204" i="98"/>
  <c r="H199" i="98"/>
  <c r="H201" i="98"/>
  <c r="H205" i="98"/>
  <c r="H203" i="98"/>
  <c r="H198" i="98"/>
  <c r="H202" i="98"/>
  <c r="H197" i="98"/>
  <c r="H336" i="98"/>
  <c r="H11" i="87"/>
  <c r="H10" i="87"/>
  <c r="H190" i="98" l="1"/>
  <c r="H28" i="98"/>
  <c r="H29" i="98" s="1"/>
  <c r="H30" i="98" s="1"/>
  <c r="H31" i="98" s="1"/>
  <c r="H32" i="98" s="1"/>
  <c r="H33" i="98" s="1"/>
  <c r="H34" i="98" s="1"/>
  <c r="H35" i="98" s="1"/>
  <c r="H339" i="98"/>
  <c r="H343" i="98"/>
  <c r="H340" i="98"/>
  <c r="H344" i="98"/>
  <c r="H338" i="98"/>
  <c r="H342" i="98"/>
  <c r="H337" i="98"/>
  <c r="H341" i="98"/>
  <c r="H345" i="98"/>
  <c r="N7" i="90"/>
  <c r="H10" i="97" s="1"/>
  <c r="H356" i="98" s="1"/>
  <c r="H357" i="98" s="1"/>
  <c r="H358" i="98" s="1"/>
  <c r="H359" i="98" s="1"/>
  <c r="H360" i="98" s="1"/>
  <c r="H361" i="98" s="1"/>
  <c r="H362" i="98" s="1"/>
  <c r="H363" i="98" s="1"/>
  <c r="H364" i="98" s="1"/>
  <c r="H365" i="98" s="1"/>
  <c r="H36" i="98"/>
  <c r="H46" i="98"/>
  <c r="N5" i="93"/>
  <c r="H8" i="95" s="1"/>
  <c r="H176" i="98" s="1"/>
  <c r="G7" i="87"/>
  <c r="H191" i="98" l="1"/>
  <c r="G6" i="98"/>
  <c r="G12" i="98" s="1"/>
  <c r="H51" i="98"/>
  <c r="H55" i="98"/>
  <c r="H49" i="98"/>
  <c r="H53" i="98"/>
  <c r="H50" i="98"/>
  <c r="H54" i="98"/>
  <c r="H52" i="98"/>
  <c r="H47" i="98"/>
  <c r="H48" i="98"/>
  <c r="H38" i="98"/>
  <c r="H42" i="98"/>
  <c r="H37" i="98"/>
  <c r="H40" i="98"/>
  <c r="H44" i="98"/>
  <c r="H41" i="98"/>
  <c r="H45" i="98"/>
  <c r="H43" i="98"/>
  <c r="H39" i="98"/>
  <c r="H181" i="98"/>
  <c r="H185" i="98"/>
  <c r="H184" i="98"/>
  <c r="H178" i="98"/>
  <c r="H182" i="98"/>
  <c r="H177" i="98"/>
  <c r="H179" i="98"/>
  <c r="H183" i="98"/>
  <c r="H180" i="98"/>
  <c r="N8" i="90"/>
  <c r="H11" i="97" s="1"/>
  <c r="H366" i="98" s="1"/>
  <c r="G7" i="95"/>
  <c r="G166" i="98" s="1"/>
  <c r="A15" i="8"/>
  <c r="G8" i="98" l="1"/>
  <c r="H192" i="98"/>
  <c r="G13" i="98"/>
  <c r="G14" i="98"/>
  <c r="G9" i="98"/>
  <c r="G10" i="98"/>
  <c r="G11" i="98"/>
  <c r="G15" i="98"/>
  <c r="G7" i="98"/>
  <c r="H371" i="98"/>
  <c r="H375" i="98"/>
  <c r="H368" i="98"/>
  <c r="H372" i="98"/>
  <c r="H367" i="98"/>
  <c r="H370" i="98"/>
  <c r="H374" i="98"/>
  <c r="H369" i="98"/>
  <c r="H373" i="98"/>
  <c r="G169" i="98"/>
  <c r="G173" i="98"/>
  <c r="G170" i="98"/>
  <c r="G174" i="98"/>
  <c r="G168" i="98"/>
  <c r="G171" i="98"/>
  <c r="G175" i="98"/>
  <c r="G167" i="98"/>
  <c r="G172" i="98"/>
  <c r="G11" i="95"/>
  <c r="G206" i="98" s="1"/>
  <c r="G10" i="95"/>
  <c r="G196" i="98" s="1"/>
  <c r="G8" i="87"/>
  <c r="G16" i="98" s="1"/>
  <c r="A15" i="10"/>
  <c r="A15" i="9"/>
  <c r="K7" i="8"/>
  <c r="H193" i="98" l="1"/>
  <c r="G199" i="98"/>
  <c r="G203" i="98"/>
  <c r="G202" i="98"/>
  <c r="G200" i="98"/>
  <c r="G204" i="98"/>
  <c r="G201" i="98"/>
  <c r="G205" i="98"/>
  <c r="G198" i="98"/>
  <c r="G211" i="98"/>
  <c r="G215" i="98"/>
  <c r="G214" i="98"/>
  <c r="G208" i="98"/>
  <c r="G212" i="98"/>
  <c r="G207" i="98"/>
  <c r="G210" i="98"/>
  <c r="G209" i="98"/>
  <c r="G213" i="98"/>
  <c r="G18" i="98"/>
  <c r="G22" i="98"/>
  <c r="G25" i="98"/>
  <c r="G19" i="98"/>
  <c r="G23" i="98"/>
  <c r="G20" i="98"/>
  <c r="G24" i="98"/>
  <c r="G21" i="98"/>
  <c r="K15" i="8"/>
  <c r="G197" i="98"/>
  <c r="G17" i="98"/>
  <c r="G10" i="87"/>
  <c r="G36" i="98" s="1"/>
  <c r="G326" i="98"/>
  <c r="H194" i="98" l="1"/>
  <c r="G330" i="98"/>
  <c r="G334" i="98"/>
  <c r="G331" i="98"/>
  <c r="G335" i="98"/>
  <c r="G328" i="98"/>
  <c r="G332" i="98"/>
  <c r="G327" i="98"/>
  <c r="G329" i="98"/>
  <c r="G333" i="98"/>
  <c r="G40" i="98"/>
  <c r="G44" i="98"/>
  <c r="G42" i="98"/>
  <c r="G39" i="98"/>
  <c r="G41" i="98"/>
  <c r="G45" i="98"/>
  <c r="G38" i="98"/>
  <c r="G37" i="98"/>
  <c r="G43" i="98"/>
  <c r="G8" i="95"/>
  <c r="G176" i="98" s="1"/>
  <c r="G10" i="97"/>
  <c r="L7" i="8"/>
  <c r="G8" i="97"/>
  <c r="G336" i="98" s="1"/>
  <c r="L20" i="6"/>
  <c r="E20" i="6"/>
  <c r="H195" i="98" l="1"/>
  <c r="G338" i="98"/>
  <c r="G342" i="98"/>
  <c r="G337" i="98"/>
  <c r="G339" i="98"/>
  <c r="G343" i="98"/>
  <c r="G340" i="98"/>
  <c r="G344" i="98"/>
  <c r="G341" i="98"/>
  <c r="G345" i="98"/>
  <c r="G180" i="98"/>
  <c r="G184" i="98"/>
  <c r="G183" i="98"/>
  <c r="G181" i="98"/>
  <c r="G185" i="98"/>
  <c r="G179" i="98"/>
  <c r="G178" i="98"/>
  <c r="G182" i="98"/>
  <c r="G177" i="98"/>
  <c r="L15" i="8"/>
  <c r="G356" i="98"/>
  <c r="G357" i="98" s="1"/>
  <c r="G358" i="98" s="1"/>
  <c r="G359" i="98" s="1"/>
  <c r="G360" i="98" s="1"/>
  <c r="G361" i="98" s="1"/>
  <c r="G362" i="98" s="1"/>
  <c r="G363" i="98" s="1"/>
  <c r="G364" i="98" s="1"/>
  <c r="G365" i="98" s="1"/>
  <c r="G11" i="87"/>
  <c r="G46" i="98" s="1"/>
  <c r="R20" i="6"/>
  <c r="G50" i="98" l="1"/>
  <c r="G54" i="98"/>
  <c r="G52" i="98"/>
  <c r="G47" i="98"/>
  <c r="G49" i="98"/>
  <c r="G51" i="98"/>
  <c r="G55" i="98"/>
  <c r="G48" i="98"/>
  <c r="G53" i="98"/>
  <c r="P15" i="8"/>
  <c r="E16" i="102" l="1"/>
  <c r="G11" i="97"/>
  <c r="G366" i="98" s="1"/>
  <c r="E17" i="102" l="1"/>
  <c r="G370" i="98"/>
  <c r="G374" i="98"/>
  <c r="G371" i="98"/>
  <c r="G375" i="98"/>
  <c r="G368" i="98"/>
  <c r="G372" i="98"/>
  <c r="G367" i="98"/>
  <c r="G369" i="98"/>
  <c r="G373" i="98"/>
  <c r="R15" i="8"/>
  <c r="Q15" i="8"/>
  <c r="F7" i="87" l="1"/>
  <c r="F6" i="98" l="1"/>
  <c r="F10" i="87"/>
  <c r="F8" i="87"/>
  <c r="F7" i="98" l="1"/>
  <c r="F16" i="98"/>
  <c r="F8" i="98"/>
  <c r="F9" i="98"/>
  <c r="F15" i="98"/>
  <c r="F11" i="98"/>
  <c r="F14" i="98"/>
  <c r="F12" i="98"/>
  <c r="F13" i="98"/>
  <c r="F10" i="98"/>
  <c r="F36" i="98"/>
  <c r="F7" i="95"/>
  <c r="F166" i="98" s="1"/>
  <c r="F24" i="98" l="1"/>
  <c r="F19" i="98"/>
  <c r="F18" i="98"/>
  <c r="F23" i="98"/>
  <c r="F20" i="98"/>
  <c r="F25" i="98"/>
  <c r="F17" i="98"/>
  <c r="F37" i="98"/>
  <c r="F38" i="98" s="1"/>
  <c r="F39" i="98" s="1"/>
  <c r="F40" i="98" s="1"/>
  <c r="F41" i="98" s="1"/>
  <c r="F42" i="98" s="1"/>
  <c r="F43" i="98" s="1"/>
  <c r="F44" i="98" s="1"/>
  <c r="F45" i="98" s="1"/>
  <c r="F21" i="98"/>
  <c r="F22" i="98"/>
  <c r="F170" i="98"/>
  <c r="F174" i="98"/>
  <c r="F173" i="98"/>
  <c r="F171" i="98"/>
  <c r="F175" i="98"/>
  <c r="F168" i="98"/>
  <c r="F172" i="98"/>
  <c r="F167" i="98"/>
  <c r="F169" i="98"/>
  <c r="F11" i="95"/>
  <c r="F206" i="98" s="1"/>
  <c r="F10" i="95"/>
  <c r="F196" i="98" s="1"/>
  <c r="P15" i="3"/>
  <c r="I11" i="3" l="1"/>
  <c r="J11" i="3" s="1"/>
  <c r="Q11" i="3" s="1"/>
  <c r="I8" i="3"/>
  <c r="J8" i="3" s="1"/>
  <c r="Q8" i="3" s="1"/>
  <c r="I13" i="3"/>
  <c r="J13" i="3" s="1"/>
  <c r="Q13" i="3" s="1"/>
  <c r="I10" i="3"/>
  <c r="J10" i="3" s="1"/>
  <c r="Q10" i="3" s="1"/>
  <c r="J14" i="3"/>
  <c r="Q14" i="3" s="1"/>
  <c r="I9" i="3"/>
  <c r="J9" i="3" s="1"/>
  <c r="Q9" i="3" s="1"/>
  <c r="F209" i="98"/>
  <c r="F213" i="98"/>
  <c r="F212" i="98"/>
  <c r="F210" i="98"/>
  <c r="F214" i="98"/>
  <c r="F208" i="98"/>
  <c r="F211" i="98"/>
  <c r="F215" i="98"/>
  <c r="F207" i="98"/>
  <c r="F199" i="98"/>
  <c r="F203" i="98"/>
  <c r="F202" i="98"/>
  <c r="F197" i="98"/>
  <c r="F200" i="98"/>
  <c r="F204" i="98"/>
  <c r="F201" i="98"/>
  <c r="F205" i="98"/>
  <c r="F198" i="98"/>
  <c r="G15" i="3"/>
  <c r="M15" i="3"/>
  <c r="F11" i="87"/>
  <c r="F46" i="98" s="1"/>
  <c r="F47" i="98" l="1"/>
  <c r="F48" i="98" s="1"/>
  <c r="F49" i="98" s="1"/>
  <c r="F50" i="98" s="1"/>
  <c r="F51" i="98" s="1"/>
  <c r="F52" i="98" s="1"/>
  <c r="F53" i="98" s="1"/>
  <c r="F54" i="98" s="1"/>
  <c r="F55" i="98" s="1"/>
  <c r="I15" i="3"/>
  <c r="Q16" i="3" s="1"/>
  <c r="AD13" i="102"/>
  <c r="AD12" i="102"/>
  <c r="AD8" i="102"/>
  <c r="AD7" i="102"/>
  <c r="AE7" i="102" s="1"/>
  <c r="AD9" i="102"/>
  <c r="AD10" i="102"/>
  <c r="F8" i="97"/>
  <c r="F336" i="98" s="1"/>
  <c r="F10" i="97"/>
  <c r="F356" i="98" s="1"/>
  <c r="F357" i="98" s="1"/>
  <c r="F358" i="98" s="1"/>
  <c r="F359" i="98" s="1"/>
  <c r="F360" i="98" s="1"/>
  <c r="F361" i="98" s="1"/>
  <c r="F362" i="98" s="1"/>
  <c r="F363" i="98" s="1"/>
  <c r="F364" i="98" s="1"/>
  <c r="F365" i="98" s="1"/>
  <c r="J15" i="3"/>
  <c r="F8" i="95"/>
  <c r="F176" i="98" s="1"/>
  <c r="O10" i="86" l="1"/>
  <c r="AA10" i="86"/>
  <c r="AA11" i="86" s="1"/>
  <c r="AE10" i="102"/>
  <c r="AE12" i="102"/>
  <c r="M12" i="88" s="1"/>
  <c r="AE9" i="102"/>
  <c r="M9" i="88" s="1"/>
  <c r="AE8" i="102"/>
  <c r="M8" i="88" s="1"/>
  <c r="AE13" i="102"/>
  <c r="M13" i="88" s="1"/>
  <c r="O4" i="93"/>
  <c r="AA4" i="93" s="1"/>
  <c r="O4" i="86"/>
  <c r="AA4" i="86" s="1"/>
  <c r="O7" i="87" s="1"/>
  <c r="O4" i="90"/>
  <c r="O5" i="90" s="1"/>
  <c r="O6" i="90" s="1"/>
  <c r="M7" i="88"/>
  <c r="F338" i="98"/>
  <c r="F342" i="98"/>
  <c r="F337" i="98"/>
  <c r="F339" i="98"/>
  <c r="F343" i="98"/>
  <c r="F341" i="98"/>
  <c r="F345" i="98"/>
  <c r="F344" i="98"/>
  <c r="F340" i="98"/>
  <c r="Q15" i="3"/>
  <c r="AE5" i="102"/>
  <c r="M5" i="88" s="1"/>
  <c r="F179" i="98"/>
  <c r="F183" i="98"/>
  <c r="F182" i="98"/>
  <c r="F180" i="98"/>
  <c r="F184" i="98"/>
  <c r="F178" i="98"/>
  <c r="F181" i="98"/>
  <c r="F185" i="98"/>
  <c r="F177" i="98"/>
  <c r="AD16" i="102" l="1"/>
  <c r="AE19" i="102"/>
  <c r="I7" i="87"/>
  <c r="I9" i="97"/>
  <c r="AA6" i="90"/>
  <c r="AE14" i="102"/>
  <c r="M10" i="88"/>
  <c r="I7" i="97"/>
  <c r="O5" i="93"/>
  <c r="O8" i="86"/>
  <c r="O11" i="86" s="1"/>
  <c r="O7" i="86"/>
  <c r="O5" i="86"/>
  <c r="O6" i="86" s="1"/>
  <c r="O7" i="90"/>
  <c r="I8" i="97"/>
  <c r="AD14" i="102"/>
  <c r="AD17" i="102" l="1"/>
  <c r="AE16" i="102"/>
  <c r="AE20" i="102" s="1"/>
  <c r="I6" i="98"/>
  <c r="O7" i="93"/>
  <c r="O6" i="93"/>
  <c r="I9" i="87"/>
  <c r="AA6" i="86"/>
  <c r="O9" i="87" s="1"/>
  <c r="I346" i="98"/>
  <c r="M9" i="97"/>
  <c r="M14" i="88"/>
  <c r="S14" i="88" s="1"/>
  <c r="O8" i="90"/>
  <c r="I11" i="97" s="1"/>
  <c r="I10" i="97"/>
  <c r="F11" i="97"/>
  <c r="F366" i="98" s="1"/>
  <c r="I8" i="87"/>
  <c r="I7" i="95"/>
  <c r="I166" i="98" s="1"/>
  <c r="I326" i="98"/>
  <c r="AE17" i="102" l="1"/>
  <c r="I8" i="98"/>
  <c r="I16" i="98"/>
  <c r="I21" i="98" s="1"/>
  <c r="I9" i="98"/>
  <c r="I10" i="98"/>
  <c r="I12" i="98"/>
  <c r="I13" i="98"/>
  <c r="I7" i="98"/>
  <c r="I11" i="98"/>
  <c r="I14" i="98"/>
  <c r="I15" i="98"/>
  <c r="I9" i="95"/>
  <c r="AA6" i="93"/>
  <c r="M9" i="87"/>
  <c r="I26" i="98"/>
  <c r="I27" i="98" s="1"/>
  <c r="I356" i="98"/>
  <c r="I357" i="98" s="1"/>
  <c r="I358" i="98" s="1"/>
  <c r="I359" i="98" s="1"/>
  <c r="I360" i="98" s="1"/>
  <c r="I361" i="98" s="1"/>
  <c r="I362" i="98" s="1"/>
  <c r="I363" i="98" s="1"/>
  <c r="I364" i="98" s="1"/>
  <c r="I365" i="98" s="1"/>
  <c r="I347" i="98"/>
  <c r="O8" i="93"/>
  <c r="I10" i="95"/>
  <c r="I196" i="98" s="1"/>
  <c r="I331" i="98"/>
  <c r="I335" i="98"/>
  <c r="I328" i="98"/>
  <c r="I332" i="98"/>
  <c r="I330" i="98"/>
  <c r="I334" i="98"/>
  <c r="I329" i="98"/>
  <c r="I333" i="98"/>
  <c r="F370" i="98"/>
  <c r="F374" i="98"/>
  <c r="F371" i="98"/>
  <c r="F375" i="98"/>
  <c r="F369" i="98"/>
  <c r="F373" i="98"/>
  <c r="F372" i="98"/>
  <c r="F367" i="98"/>
  <c r="F368" i="98"/>
  <c r="I25" i="98"/>
  <c r="I18" i="98"/>
  <c r="I20" i="98"/>
  <c r="I24" i="98"/>
  <c r="I171" i="98"/>
  <c r="I175" i="98"/>
  <c r="I168" i="98"/>
  <c r="I172" i="98"/>
  <c r="I167" i="98"/>
  <c r="I169" i="98"/>
  <c r="I173" i="98"/>
  <c r="I170" i="98"/>
  <c r="I174" i="98"/>
  <c r="I10" i="87"/>
  <c r="I36" i="98" s="1"/>
  <c r="I366" i="98"/>
  <c r="I336" i="98"/>
  <c r="I327" i="98"/>
  <c r="I22" i="98" l="1"/>
  <c r="I23" i="98"/>
  <c r="I17" i="98"/>
  <c r="I19" i="98"/>
  <c r="P9" i="87"/>
  <c r="S26" i="98"/>
  <c r="I348" i="98"/>
  <c r="I28" i="98"/>
  <c r="I198" i="98"/>
  <c r="I200" i="98"/>
  <c r="I215" i="98"/>
  <c r="I208" i="98"/>
  <c r="I210" i="98"/>
  <c r="I201" i="98"/>
  <c r="I199" i="98"/>
  <c r="I214" i="98"/>
  <c r="I211" i="98"/>
  <c r="I202" i="98"/>
  <c r="I204" i="98"/>
  <c r="I212" i="98"/>
  <c r="I205" i="98"/>
  <c r="I203" i="98"/>
  <c r="I209" i="98"/>
  <c r="I213" i="98"/>
  <c r="I197" i="98"/>
  <c r="I186" i="98"/>
  <c r="I187" i="98" s="1"/>
  <c r="M9" i="95"/>
  <c r="I341" i="98"/>
  <c r="I345" i="98"/>
  <c r="I338" i="98"/>
  <c r="I342" i="98"/>
  <c r="I337" i="98"/>
  <c r="I340" i="98"/>
  <c r="I344" i="98"/>
  <c r="I339" i="98"/>
  <c r="I343" i="98"/>
  <c r="I368" i="98"/>
  <c r="I372" i="98"/>
  <c r="I367" i="98"/>
  <c r="I369" i="98"/>
  <c r="I373" i="98"/>
  <c r="I371" i="98"/>
  <c r="I375" i="98"/>
  <c r="I370" i="98"/>
  <c r="I374" i="98"/>
  <c r="I44" i="98"/>
  <c r="I38" i="98"/>
  <c r="I45" i="98"/>
  <c r="I40" i="98"/>
  <c r="I41" i="98"/>
  <c r="I43" i="98"/>
  <c r="I39" i="98"/>
  <c r="I37" i="98"/>
  <c r="I42" i="98"/>
  <c r="I8" i="95"/>
  <c r="I176" i="98" s="1"/>
  <c r="I11" i="95"/>
  <c r="I206" i="98" s="1"/>
  <c r="I207" i="98" s="1"/>
  <c r="I188" i="98" l="1"/>
  <c r="I189" i="98" s="1"/>
  <c r="I349" i="98"/>
  <c r="I29" i="98"/>
  <c r="I178" i="98"/>
  <c r="I182" i="98"/>
  <c r="I177" i="98"/>
  <c r="I179" i="98"/>
  <c r="I183" i="98"/>
  <c r="I180" i="98"/>
  <c r="I184" i="98"/>
  <c r="I181" i="98"/>
  <c r="I185" i="98"/>
  <c r="I11" i="87"/>
  <c r="I46" i="98" s="1"/>
  <c r="I350" i="98" l="1"/>
  <c r="I190" i="98"/>
  <c r="I30" i="98"/>
  <c r="I48" i="98"/>
  <c r="I52" i="98"/>
  <c r="I47" i="98"/>
  <c r="I50" i="98"/>
  <c r="I54" i="98"/>
  <c r="I51" i="98"/>
  <c r="I55" i="98"/>
  <c r="I49" i="98"/>
  <c r="I53" i="98"/>
  <c r="I351" i="98" l="1"/>
  <c r="I191" i="98"/>
  <c r="I31" i="98"/>
  <c r="L16" i="87"/>
  <c r="C8" i="94"/>
  <c r="L7" i="95"/>
  <c r="L7" i="87"/>
  <c r="L8" i="87"/>
  <c r="M7" i="87" l="1"/>
  <c r="P7" i="87" s="1"/>
  <c r="L16" i="98"/>
  <c r="L20" i="98" s="1"/>
  <c r="M8" i="87"/>
  <c r="S86" i="98" s="1"/>
  <c r="L6" i="98"/>
  <c r="I352" i="98"/>
  <c r="I192" i="98"/>
  <c r="I32" i="98"/>
  <c r="L22" i="98"/>
  <c r="M16" i="87"/>
  <c r="L106" i="98"/>
  <c r="M7" i="95"/>
  <c r="L166" i="98"/>
  <c r="L12" i="87"/>
  <c r="M12" i="87" s="1"/>
  <c r="C4" i="94"/>
  <c r="L16" i="95"/>
  <c r="L266" i="98" s="1"/>
  <c r="C8" i="96"/>
  <c r="L16" i="97" s="1"/>
  <c r="L17" i="87"/>
  <c r="C9" i="94"/>
  <c r="AA5" i="86"/>
  <c r="D4" i="85"/>
  <c r="L10" i="95"/>
  <c r="L10" i="87"/>
  <c r="K5" i="88" l="1"/>
  <c r="S5" i="88" s="1"/>
  <c r="L17" i="98"/>
  <c r="L21" i="98"/>
  <c r="O8" i="87"/>
  <c r="P8" i="87" s="1"/>
  <c r="L24" i="98"/>
  <c r="L25" i="98"/>
  <c r="L23" i="98"/>
  <c r="L12" i="98"/>
  <c r="S6" i="98"/>
  <c r="L18" i="98"/>
  <c r="S16" i="98"/>
  <c r="L19" i="98"/>
  <c r="O12" i="87"/>
  <c r="G4" i="85"/>
  <c r="L13" i="98"/>
  <c r="L7" i="98"/>
  <c r="L9" i="98"/>
  <c r="L14" i="98"/>
  <c r="L10" i="98"/>
  <c r="L15" i="98"/>
  <c r="L8" i="98"/>
  <c r="L11" i="98"/>
  <c r="L426" i="98"/>
  <c r="L431" i="98" s="1"/>
  <c r="Q431" i="98" s="1"/>
  <c r="M16" i="97"/>
  <c r="I353" i="98"/>
  <c r="I193" i="98"/>
  <c r="I33" i="98"/>
  <c r="L269" i="98"/>
  <c r="Q269" i="98" s="1"/>
  <c r="L271" i="98"/>
  <c r="Q271" i="98" s="1"/>
  <c r="L274" i="98"/>
  <c r="Q274" i="98" s="1"/>
  <c r="L268" i="98"/>
  <c r="Q268" i="98" s="1"/>
  <c r="L275" i="98"/>
  <c r="Q275" i="98" s="1"/>
  <c r="L267" i="98"/>
  <c r="L272" i="98"/>
  <c r="Q272" i="98" s="1"/>
  <c r="L270" i="98"/>
  <c r="Q270" i="98" s="1"/>
  <c r="L273" i="98"/>
  <c r="Q273" i="98" s="1"/>
  <c r="L111" i="98"/>
  <c r="Q111" i="98" s="1"/>
  <c r="L115" i="98"/>
  <c r="Q115" i="98" s="1"/>
  <c r="L109" i="98"/>
  <c r="Q109" i="98" s="1"/>
  <c r="L113" i="98"/>
  <c r="Q113" i="98" s="1"/>
  <c r="L112" i="98"/>
  <c r="Q112" i="98" s="1"/>
  <c r="L107" i="98"/>
  <c r="Q107" i="98" s="1"/>
  <c r="P29" i="109" s="1"/>
  <c r="L114" i="98"/>
  <c r="Q114" i="98" s="1"/>
  <c r="L108" i="98"/>
  <c r="Q108" i="98" s="1"/>
  <c r="L110" i="98"/>
  <c r="Q110" i="98" s="1"/>
  <c r="L169" i="98"/>
  <c r="L173" i="98"/>
  <c r="L172" i="98"/>
  <c r="L170" i="98"/>
  <c r="L174" i="98"/>
  <c r="L171" i="98"/>
  <c r="L175" i="98"/>
  <c r="L167" i="98"/>
  <c r="L168" i="98"/>
  <c r="L76" i="98"/>
  <c r="S76" i="98" s="1"/>
  <c r="L56" i="98"/>
  <c r="M17" i="87"/>
  <c r="S106" i="98" s="1"/>
  <c r="L136" i="98"/>
  <c r="L8" i="88"/>
  <c r="L12" i="88"/>
  <c r="L9" i="88"/>
  <c r="L13" i="88"/>
  <c r="L6" i="88"/>
  <c r="L10" i="88"/>
  <c r="L5" i="88"/>
  <c r="N5" i="88" s="1"/>
  <c r="L7" i="88"/>
  <c r="L11" i="88"/>
  <c r="AA4" i="90"/>
  <c r="K8" i="88"/>
  <c r="K6" i="88"/>
  <c r="K7" i="88"/>
  <c r="K12" i="88"/>
  <c r="K10" i="88"/>
  <c r="K13" i="88"/>
  <c r="K9" i="88"/>
  <c r="K11" i="88"/>
  <c r="L11" i="95"/>
  <c r="AA8" i="93"/>
  <c r="L196" i="98"/>
  <c r="M10" i="95"/>
  <c r="L17" i="95"/>
  <c r="L296" i="98" s="1"/>
  <c r="C9" i="96"/>
  <c r="L17" i="97" s="1"/>
  <c r="L456" i="98" s="1"/>
  <c r="L13" i="87"/>
  <c r="M13" i="87" s="1"/>
  <c r="S66" i="98" s="1"/>
  <c r="C5" i="94"/>
  <c r="D5" i="94" s="1"/>
  <c r="L12" i="95"/>
  <c r="C4" i="96"/>
  <c r="D4" i="94"/>
  <c r="L18" i="87"/>
  <c r="C10" i="94"/>
  <c r="L36" i="98"/>
  <c r="M10" i="87"/>
  <c r="AA7" i="93"/>
  <c r="AA7" i="86"/>
  <c r="O10" i="87" s="1"/>
  <c r="D8" i="96"/>
  <c r="D8" i="85"/>
  <c r="D8" i="94"/>
  <c r="D5" i="85"/>
  <c r="O13" i="87" s="1"/>
  <c r="S36" i="98" l="1"/>
  <c r="Q267" i="98"/>
  <c r="Q266" i="98" s="1"/>
  <c r="L430" i="98"/>
  <c r="Q430" i="98" s="1"/>
  <c r="R32" i="109" s="1"/>
  <c r="L433" i="98"/>
  <c r="Q433" i="98" s="1"/>
  <c r="R35" i="109" s="1"/>
  <c r="G8" i="85"/>
  <c r="O16" i="87"/>
  <c r="P16" i="87" s="1"/>
  <c r="L432" i="98"/>
  <c r="Q432" i="98" s="1"/>
  <c r="R34" i="109" s="1"/>
  <c r="L428" i="98"/>
  <c r="Q428" i="98" s="1"/>
  <c r="R30" i="109" s="1"/>
  <c r="S56" i="98"/>
  <c r="P13" i="87"/>
  <c r="P12" i="87"/>
  <c r="P10" i="87"/>
  <c r="N6" i="88"/>
  <c r="N8" i="98" s="1"/>
  <c r="Q8" i="98" s="1"/>
  <c r="T5" i="88"/>
  <c r="L429" i="98"/>
  <c r="Q429" i="98" s="1"/>
  <c r="R31" i="109" s="1"/>
  <c r="L435" i="98"/>
  <c r="Q435" i="98" s="1"/>
  <c r="R37" i="109" s="1"/>
  <c r="L434" i="98"/>
  <c r="Q434" i="98" s="1"/>
  <c r="R36" i="109" s="1"/>
  <c r="L427" i="98"/>
  <c r="Q427" i="98" s="1"/>
  <c r="R29" i="109" s="1"/>
  <c r="Q106" i="98"/>
  <c r="I354" i="98"/>
  <c r="I194" i="98"/>
  <c r="I34" i="98"/>
  <c r="R272" i="98"/>
  <c r="L21" i="109" s="1"/>
  <c r="Q34" i="109"/>
  <c r="R108" i="98"/>
  <c r="L4" i="109" s="1"/>
  <c r="P30" i="109"/>
  <c r="R115" i="98"/>
  <c r="L11" i="109" s="1"/>
  <c r="P37" i="109"/>
  <c r="R270" i="98"/>
  <c r="L19" i="109" s="1"/>
  <c r="Q32" i="109"/>
  <c r="R275" i="98"/>
  <c r="L24" i="109" s="1"/>
  <c r="Q37" i="109"/>
  <c r="R271" i="98"/>
  <c r="L20" i="109" s="1"/>
  <c r="Q33" i="109"/>
  <c r="R114" i="98"/>
  <c r="L10" i="109" s="1"/>
  <c r="P36" i="109"/>
  <c r="R113" i="98"/>
  <c r="L9" i="109" s="1"/>
  <c r="P35" i="109"/>
  <c r="R111" i="98"/>
  <c r="L7" i="109" s="1"/>
  <c r="P33" i="109"/>
  <c r="R268" i="98"/>
  <c r="L17" i="109" s="1"/>
  <c r="Q30" i="109"/>
  <c r="R110" i="98"/>
  <c r="L6" i="109" s="1"/>
  <c r="P32" i="109"/>
  <c r="R107" i="98"/>
  <c r="R109" i="98"/>
  <c r="L5" i="109" s="1"/>
  <c r="P31" i="109"/>
  <c r="R431" i="98"/>
  <c r="L33" i="109" s="1"/>
  <c r="R33" i="109"/>
  <c r="R112" i="98"/>
  <c r="L8" i="109" s="1"/>
  <c r="P34" i="109"/>
  <c r="R273" i="98"/>
  <c r="L22" i="109" s="1"/>
  <c r="Q35" i="109"/>
  <c r="R267" i="98"/>
  <c r="L16" i="109" s="1"/>
  <c r="R274" i="98"/>
  <c r="L23" i="109" s="1"/>
  <c r="Q36" i="109"/>
  <c r="R269" i="98"/>
  <c r="L18" i="109" s="1"/>
  <c r="Q31" i="109"/>
  <c r="N9" i="88"/>
  <c r="N11" i="98" s="1"/>
  <c r="Q11" i="98" s="1"/>
  <c r="N7" i="88"/>
  <c r="N9" i="98" s="1"/>
  <c r="Q9" i="98" s="1"/>
  <c r="N11" i="88"/>
  <c r="N13" i="98" s="1"/>
  <c r="Q13" i="98" s="1"/>
  <c r="N12" i="88"/>
  <c r="N14" i="98" s="1"/>
  <c r="Q14" i="98" s="1"/>
  <c r="N13" i="88"/>
  <c r="N15" i="98" s="1"/>
  <c r="Q15" i="98" s="1"/>
  <c r="N10" i="88"/>
  <c r="N12" i="98" s="1"/>
  <c r="Q12" i="98" s="1"/>
  <c r="N8" i="88"/>
  <c r="L461" i="98"/>
  <c r="Q461" i="98" s="1"/>
  <c r="L465" i="98"/>
  <c r="Q465" i="98" s="1"/>
  <c r="L458" i="98"/>
  <c r="Q458" i="98" s="1"/>
  <c r="L462" i="98"/>
  <c r="Q462" i="98" s="1"/>
  <c r="L457" i="98"/>
  <c r="Q457" i="98" s="1"/>
  <c r="L459" i="98"/>
  <c r="Q459" i="98" s="1"/>
  <c r="L463" i="98"/>
  <c r="Q463" i="98" s="1"/>
  <c r="L460" i="98"/>
  <c r="Q460" i="98" s="1"/>
  <c r="L464" i="98"/>
  <c r="Q464" i="98" s="1"/>
  <c r="M12" i="95"/>
  <c r="L236" i="98"/>
  <c r="L61" i="98"/>
  <c r="Q61" i="98" s="1"/>
  <c r="L65" i="98"/>
  <c r="Q65" i="98" s="1"/>
  <c r="L57" i="98"/>
  <c r="Q57" i="98" s="1"/>
  <c r="L58" i="98"/>
  <c r="Q58" i="98" s="1"/>
  <c r="L63" i="98"/>
  <c r="Q63" i="98" s="1"/>
  <c r="L60" i="98"/>
  <c r="Q60" i="98" s="1"/>
  <c r="L62" i="98"/>
  <c r="Q62" i="98" s="1"/>
  <c r="L59" i="98"/>
  <c r="Q59" i="98" s="1"/>
  <c r="L64" i="98"/>
  <c r="Q64" i="98" s="1"/>
  <c r="L298" i="98"/>
  <c r="Q298" i="98" s="1"/>
  <c r="L302" i="98"/>
  <c r="Q302" i="98" s="1"/>
  <c r="L297" i="98"/>
  <c r="Q297" i="98" s="1"/>
  <c r="L299" i="98"/>
  <c r="Q299" i="98" s="1"/>
  <c r="L303" i="98"/>
  <c r="Q303" i="98" s="1"/>
  <c r="L304" i="98"/>
  <c r="Q304" i="98" s="1"/>
  <c r="L305" i="98"/>
  <c r="Q305" i="98" s="1"/>
  <c r="L300" i="98"/>
  <c r="Q300" i="98" s="1"/>
  <c r="L301" i="98"/>
  <c r="Q301" i="98" s="1"/>
  <c r="L80" i="98"/>
  <c r="Q80" i="98" s="1"/>
  <c r="L84" i="98"/>
  <c r="Q84" i="98" s="1"/>
  <c r="L78" i="98"/>
  <c r="Q78" i="98" s="1"/>
  <c r="L82" i="98"/>
  <c r="Q82" i="98" s="1"/>
  <c r="L77" i="98"/>
  <c r="L81" i="98"/>
  <c r="Q81" i="98" s="1"/>
  <c r="L85" i="98"/>
  <c r="Q85" i="98" s="1"/>
  <c r="L79" i="98"/>
  <c r="Q79" i="98" s="1"/>
  <c r="L83" i="98"/>
  <c r="Q83" i="98" s="1"/>
  <c r="L141" i="98"/>
  <c r="Q141" i="98" s="1"/>
  <c r="L145" i="98"/>
  <c r="Q145" i="98" s="1"/>
  <c r="L138" i="98"/>
  <c r="Q138" i="98" s="1"/>
  <c r="L142" i="98"/>
  <c r="Q142" i="98" s="1"/>
  <c r="L137" i="98"/>
  <c r="Q137" i="98" s="1"/>
  <c r="L144" i="98"/>
  <c r="Q144" i="98" s="1"/>
  <c r="L140" i="98"/>
  <c r="Q140" i="98" s="1"/>
  <c r="L139" i="98"/>
  <c r="Q139" i="98" s="1"/>
  <c r="L143" i="98"/>
  <c r="Q143" i="98" s="1"/>
  <c r="L201" i="98"/>
  <c r="L205" i="98"/>
  <c r="L204" i="98"/>
  <c r="L198" i="98"/>
  <c r="L202" i="98"/>
  <c r="L197" i="98"/>
  <c r="L200" i="98"/>
  <c r="L199" i="98"/>
  <c r="L203" i="98"/>
  <c r="N7" i="98"/>
  <c r="Q7" i="98" s="1"/>
  <c r="M18" i="87"/>
  <c r="P18" i="87" s="1"/>
  <c r="L116" i="98"/>
  <c r="M7" i="97"/>
  <c r="L326" i="98"/>
  <c r="L8" i="95"/>
  <c r="L206" i="98"/>
  <c r="M11" i="95"/>
  <c r="L10" i="97"/>
  <c r="M10" i="97" s="1"/>
  <c r="L19" i="87"/>
  <c r="C11" i="94"/>
  <c r="D11" i="94" s="1"/>
  <c r="L18" i="95"/>
  <c r="L276" i="98" s="1"/>
  <c r="C10" i="96"/>
  <c r="L18" i="97" s="1"/>
  <c r="L436" i="98" s="1"/>
  <c r="L12" i="97"/>
  <c r="L396" i="98" s="1"/>
  <c r="L397" i="98" s="1"/>
  <c r="Q397" i="98" s="1"/>
  <c r="D4" i="96"/>
  <c r="L13" i="95"/>
  <c r="L216" i="98" s="1"/>
  <c r="C5" i="96"/>
  <c r="L41" i="98"/>
  <c r="L37" i="98"/>
  <c r="L40" i="98"/>
  <c r="L44" i="98"/>
  <c r="L45" i="98"/>
  <c r="L43" i="98"/>
  <c r="L42" i="98"/>
  <c r="L38" i="98"/>
  <c r="L39" i="98"/>
  <c r="L11" i="87"/>
  <c r="D10" i="94"/>
  <c r="D9" i="94"/>
  <c r="D9" i="96"/>
  <c r="M16" i="95"/>
  <c r="D9" i="85"/>
  <c r="O17" i="87" s="1"/>
  <c r="P17" i="87" s="1"/>
  <c r="L8" i="97"/>
  <c r="R430" i="98" l="1"/>
  <c r="L32" i="109" s="1"/>
  <c r="Q296" i="98"/>
  <c r="Q29" i="109"/>
  <c r="R7" i="98"/>
  <c r="L25" i="109"/>
  <c r="R433" i="98"/>
  <c r="L35" i="109" s="1"/>
  <c r="L3" i="109"/>
  <c r="L12" i="109" s="1"/>
  <c r="Q77" i="98"/>
  <c r="Q76" i="98" s="1"/>
  <c r="R77" i="98"/>
  <c r="I3" i="109" s="1"/>
  <c r="R434" i="98"/>
  <c r="L36" i="109" s="1"/>
  <c r="S116" i="98"/>
  <c r="R432" i="98"/>
  <c r="L34" i="109" s="1"/>
  <c r="R428" i="98"/>
  <c r="L30" i="109" s="1"/>
  <c r="R429" i="98"/>
  <c r="L31" i="109" s="1"/>
  <c r="R427" i="98"/>
  <c r="L29" i="109" s="1"/>
  <c r="R435" i="98"/>
  <c r="L37" i="109" s="1"/>
  <c r="Q136" i="98"/>
  <c r="Q56" i="98"/>
  <c r="I355" i="98"/>
  <c r="I195" i="98"/>
  <c r="I35" i="98"/>
  <c r="R68" i="98"/>
  <c r="H4" i="109" s="1"/>
  <c r="R73" i="98"/>
  <c r="H9" i="109" s="1"/>
  <c r="R72" i="98"/>
  <c r="H8" i="109" s="1"/>
  <c r="R67" i="98"/>
  <c r="R70" i="98"/>
  <c r="H6" i="109" s="1"/>
  <c r="R71" i="98"/>
  <c r="H7" i="109" s="1"/>
  <c r="R69" i="98"/>
  <c r="H5" i="109" s="1"/>
  <c r="R74" i="98"/>
  <c r="H10" i="109" s="1"/>
  <c r="R75" i="98"/>
  <c r="H11" i="109" s="1"/>
  <c r="N10" i="98"/>
  <c r="Q10" i="98" s="1"/>
  <c r="Q6" i="98" s="1"/>
  <c r="N175" i="98"/>
  <c r="Q175" i="98" s="1"/>
  <c r="N169" i="98"/>
  <c r="Q169" i="98" s="1"/>
  <c r="N174" i="98"/>
  <c r="Q174" i="98" s="1"/>
  <c r="N171" i="98"/>
  <c r="Q171" i="98" s="1"/>
  <c r="N168" i="98"/>
  <c r="Q168" i="98" s="1"/>
  <c r="N172" i="98"/>
  <c r="Q172" i="98" s="1"/>
  <c r="N173" i="98"/>
  <c r="Q173" i="98" s="1"/>
  <c r="R79" i="98"/>
  <c r="I5" i="109" s="1"/>
  <c r="R304" i="98"/>
  <c r="O23" i="109" s="1"/>
  <c r="R64" i="98"/>
  <c r="G10" i="109" s="1"/>
  <c r="R58" i="98"/>
  <c r="G4" i="109" s="1"/>
  <c r="R463" i="98"/>
  <c r="O35" i="109" s="1"/>
  <c r="R462" i="98"/>
  <c r="O34" i="109" s="1"/>
  <c r="R461" i="98"/>
  <c r="O33" i="109" s="1"/>
  <c r="R140" i="98"/>
  <c r="O6" i="109" s="1"/>
  <c r="R142" i="98"/>
  <c r="O8" i="109" s="1"/>
  <c r="R141" i="98"/>
  <c r="O7" i="109" s="1"/>
  <c r="R85" i="98"/>
  <c r="I11" i="109" s="1"/>
  <c r="R84" i="98"/>
  <c r="I10" i="109" s="1"/>
  <c r="R59" i="98"/>
  <c r="G5" i="109" s="1"/>
  <c r="R60" i="98"/>
  <c r="G6" i="109" s="1"/>
  <c r="R57" i="98"/>
  <c r="R464" i="98"/>
  <c r="O36" i="109" s="1"/>
  <c r="R459" i="98"/>
  <c r="O31" i="109" s="1"/>
  <c r="R458" i="98"/>
  <c r="O30" i="109" s="1"/>
  <c r="L398" i="98"/>
  <c r="Q398" i="98" s="1"/>
  <c r="R397" i="98"/>
  <c r="I29" i="109" s="1"/>
  <c r="R83" i="98"/>
  <c r="I9" i="109" s="1"/>
  <c r="R460" i="98"/>
  <c r="O32" i="109" s="1"/>
  <c r="R145" i="98"/>
  <c r="O11" i="109" s="1"/>
  <c r="R301" i="98"/>
  <c r="O20" i="109" s="1"/>
  <c r="R297" i="98"/>
  <c r="O16" i="109" s="1"/>
  <c r="R143" i="98"/>
  <c r="O9" i="109" s="1"/>
  <c r="R144" i="98"/>
  <c r="O10" i="109" s="1"/>
  <c r="R138" i="98"/>
  <c r="O4" i="109" s="1"/>
  <c r="R82" i="98"/>
  <c r="I8" i="109" s="1"/>
  <c r="R80" i="98"/>
  <c r="I6" i="109" s="1"/>
  <c r="R300" i="98"/>
  <c r="O19" i="109" s="1"/>
  <c r="R303" i="98"/>
  <c r="O22" i="109" s="1"/>
  <c r="R302" i="98"/>
  <c r="O21" i="109" s="1"/>
  <c r="R65" i="98"/>
  <c r="G11" i="109" s="1"/>
  <c r="R457" i="98"/>
  <c r="O29" i="109" s="1"/>
  <c r="R139" i="98"/>
  <c r="O5" i="109" s="1"/>
  <c r="R137" i="98"/>
  <c r="R81" i="98"/>
  <c r="I7" i="109" s="1"/>
  <c r="R78" i="98"/>
  <c r="I4" i="109" s="1"/>
  <c r="R305" i="98"/>
  <c r="O24" i="109" s="1"/>
  <c r="R299" i="98"/>
  <c r="O18" i="109" s="1"/>
  <c r="R298" i="98"/>
  <c r="O17" i="109" s="1"/>
  <c r="R62" i="98"/>
  <c r="G8" i="109" s="1"/>
  <c r="R63" i="98"/>
  <c r="G9" i="109" s="1"/>
  <c r="R61" i="98"/>
  <c r="G7" i="109" s="1"/>
  <c r="R465" i="98"/>
  <c r="O37" i="109" s="1"/>
  <c r="N21" i="98"/>
  <c r="N22" i="98"/>
  <c r="N25" i="98"/>
  <c r="N18" i="98"/>
  <c r="N23" i="98"/>
  <c r="L329" i="98"/>
  <c r="L333" i="98"/>
  <c r="L330" i="98"/>
  <c r="L334" i="98"/>
  <c r="L328" i="98"/>
  <c r="L332" i="98"/>
  <c r="L331" i="98"/>
  <c r="L335" i="98"/>
  <c r="L242" i="98"/>
  <c r="Q242" i="98" s="1"/>
  <c r="L243" i="98"/>
  <c r="Q243" i="98" s="1"/>
  <c r="L244" i="98"/>
  <c r="Q244" i="98" s="1"/>
  <c r="L241" i="98"/>
  <c r="Q241" i="98" s="1"/>
  <c r="L237" i="98"/>
  <c r="Q237" i="98" s="1"/>
  <c r="L240" i="98"/>
  <c r="Q240" i="98" s="1"/>
  <c r="L245" i="98"/>
  <c r="Q245" i="98" s="1"/>
  <c r="L238" i="98"/>
  <c r="Q238" i="98" s="1"/>
  <c r="L239" i="98"/>
  <c r="Q239" i="98" s="1"/>
  <c r="L439" i="98"/>
  <c r="Q439" i="98" s="1"/>
  <c r="L443" i="98"/>
  <c r="Q443" i="98" s="1"/>
  <c r="L445" i="98"/>
  <c r="Q445" i="98" s="1"/>
  <c r="L440" i="98"/>
  <c r="Q440" i="98" s="1"/>
  <c r="L444" i="98"/>
  <c r="Q444" i="98" s="1"/>
  <c r="L441" i="98"/>
  <c r="Q441" i="98" s="1"/>
  <c r="L438" i="98"/>
  <c r="Q438" i="98" s="1"/>
  <c r="L442" i="98"/>
  <c r="Q442" i="98" s="1"/>
  <c r="L437" i="98"/>
  <c r="Q437" i="98" s="1"/>
  <c r="N17" i="98"/>
  <c r="L280" i="98"/>
  <c r="Q280" i="98" s="1"/>
  <c r="L284" i="98"/>
  <c r="Q284" i="98" s="1"/>
  <c r="L281" i="98"/>
  <c r="Q281" i="98" s="1"/>
  <c r="L285" i="98"/>
  <c r="Q285" i="98" s="1"/>
  <c r="L278" i="98"/>
  <c r="Q278" i="98" s="1"/>
  <c r="L279" i="98"/>
  <c r="Q279" i="98" s="1"/>
  <c r="L282" i="98"/>
  <c r="Q282" i="98" s="1"/>
  <c r="L277" i="98"/>
  <c r="Q277" i="98" s="1"/>
  <c r="L283" i="98"/>
  <c r="Q283" i="98" s="1"/>
  <c r="L118" i="98"/>
  <c r="Q118" i="98" s="1"/>
  <c r="L122" i="98"/>
  <c r="Q122" i="98" s="1"/>
  <c r="L117" i="98"/>
  <c r="Q117" i="98" s="1"/>
  <c r="L120" i="98"/>
  <c r="L124" i="98"/>
  <c r="Q124" i="98" s="1"/>
  <c r="L121" i="98"/>
  <c r="Q121" i="98" s="1"/>
  <c r="L123" i="98"/>
  <c r="Q123" i="98" s="1"/>
  <c r="L125" i="98"/>
  <c r="Q125" i="98" s="1"/>
  <c r="L119" i="98"/>
  <c r="Q119" i="98" s="1"/>
  <c r="L218" i="98"/>
  <c r="Q218" i="98" s="1"/>
  <c r="L222" i="98"/>
  <c r="Q222" i="98" s="1"/>
  <c r="L217" i="98"/>
  <c r="Q217" i="98" s="1"/>
  <c r="L219" i="98"/>
  <c r="Q219" i="98" s="1"/>
  <c r="L223" i="98"/>
  <c r="Q223" i="98" s="1"/>
  <c r="L224" i="98"/>
  <c r="Q224" i="98" s="1"/>
  <c r="L220" i="98"/>
  <c r="Q220" i="98" s="1"/>
  <c r="L221" i="98"/>
  <c r="Q221" i="98" s="1"/>
  <c r="L225" i="98"/>
  <c r="Q225" i="98" s="1"/>
  <c r="L209" i="98"/>
  <c r="L213" i="98"/>
  <c r="L208" i="98"/>
  <c r="L207" i="98"/>
  <c r="L210" i="98"/>
  <c r="L214" i="98"/>
  <c r="L212" i="98"/>
  <c r="L211" i="98"/>
  <c r="L215" i="98"/>
  <c r="N24" i="98"/>
  <c r="N19" i="98"/>
  <c r="M19" i="87"/>
  <c r="L126" i="98"/>
  <c r="AA5" i="90"/>
  <c r="L336" i="98"/>
  <c r="AA7" i="90"/>
  <c r="L356" i="98"/>
  <c r="L357" i="98" s="1"/>
  <c r="D10" i="96"/>
  <c r="AA5" i="93"/>
  <c r="L327" i="98"/>
  <c r="M13" i="95"/>
  <c r="M8" i="95"/>
  <c r="L176" i="98"/>
  <c r="L19" i="95"/>
  <c r="L286" i="98" s="1"/>
  <c r="C11" i="96"/>
  <c r="L13" i="97"/>
  <c r="D5" i="96"/>
  <c r="M12" i="97"/>
  <c r="L20" i="87"/>
  <c r="L96" i="98" s="1"/>
  <c r="S96" i="98" s="1"/>
  <c r="C12" i="94"/>
  <c r="D12" i="85"/>
  <c r="O20" i="87" s="1"/>
  <c r="R15" i="98"/>
  <c r="B11" i="109" s="1"/>
  <c r="R11" i="98"/>
  <c r="B7" i="109" s="1"/>
  <c r="R12" i="98"/>
  <c r="B8" i="109" s="1"/>
  <c r="R13" i="98"/>
  <c r="B9" i="109" s="1"/>
  <c r="R14" i="98"/>
  <c r="B10" i="109" s="1"/>
  <c r="R8" i="98"/>
  <c r="B4" i="109" s="1"/>
  <c r="R9" i="98"/>
  <c r="B5" i="109" s="1"/>
  <c r="L46" i="98"/>
  <c r="M11" i="87"/>
  <c r="AA8" i="86"/>
  <c r="D11" i="85"/>
  <c r="O19" i="87" s="1"/>
  <c r="M18" i="97"/>
  <c r="M17" i="97"/>
  <c r="M17" i="95"/>
  <c r="Q236" i="98" l="1"/>
  <c r="Q216" i="98"/>
  <c r="Q276" i="98"/>
  <c r="O25" i="109"/>
  <c r="H3" i="109"/>
  <c r="H12" i="109" s="1"/>
  <c r="I12" i="109"/>
  <c r="O3" i="109"/>
  <c r="O12" i="109" s="1"/>
  <c r="G3" i="109"/>
  <c r="G12" i="109" s="1"/>
  <c r="R217" i="98"/>
  <c r="G16" i="109" s="1"/>
  <c r="R247" i="98"/>
  <c r="J16" i="109" s="1"/>
  <c r="P19" i="87"/>
  <c r="L127" i="98"/>
  <c r="Q127" i="98" s="1"/>
  <c r="R87" i="98"/>
  <c r="S126" i="98"/>
  <c r="Q120" i="98"/>
  <c r="Q116" i="98" s="1"/>
  <c r="R120" i="98"/>
  <c r="M6" i="109" s="1"/>
  <c r="S46" i="98"/>
  <c r="O11" i="87"/>
  <c r="P11" i="87" s="1"/>
  <c r="N34" i="98"/>
  <c r="N194" i="98" s="1"/>
  <c r="Q194" i="98" s="1"/>
  <c r="Q24" i="98"/>
  <c r="N33" i="98"/>
  <c r="N193" i="98" s="1"/>
  <c r="Q193" i="98" s="1"/>
  <c r="Q23" i="98"/>
  <c r="N31" i="98"/>
  <c r="N191" i="98" s="1"/>
  <c r="Q191" i="98" s="1"/>
  <c r="Q21" i="98"/>
  <c r="N331" i="98"/>
  <c r="Q331" i="98" s="1"/>
  <c r="S171" i="98"/>
  <c r="N28" i="98"/>
  <c r="N188" i="98" s="1"/>
  <c r="Q188" i="98" s="1"/>
  <c r="Q18" i="98"/>
  <c r="S173" i="98"/>
  <c r="N333" i="98"/>
  <c r="Q333" i="98" s="1"/>
  <c r="N334" i="98"/>
  <c r="Q334" i="98" s="1"/>
  <c r="S174" i="98"/>
  <c r="N35" i="98"/>
  <c r="Q25" i="98"/>
  <c r="N332" i="98"/>
  <c r="Q332" i="98" s="1"/>
  <c r="S172" i="98"/>
  <c r="S169" i="98"/>
  <c r="N329" i="98"/>
  <c r="Q329" i="98" s="1"/>
  <c r="N29" i="98"/>
  <c r="N189" i="98" s="1"/>
  <c r="Q189" i="98" s="1"/>
  <c r="Q19" i="98"/>
  <c r="N32" i="98"/>
  <c r="N192" i="98" s="1"/>
  <c r="Q192" i="98" s="1"/>
  <c r="Q22" i="98"/>
  <c r="N328" i="98"/>
  <c r="Q328" i="98" s="1"/>
  <c r="S168" i="98"/>
  <c r="Q4" i="109" s="1"/>
  <c r="S175" i="98"/>
  <c r="N335" i="98"/>
  <c r="Q335" i="98" s="1"/>
  <c r="N27" i="98"/>
  <c r="Q17" i="98"/>
  <c r="N170" i="98"/>
  <c r="N20" i="98"/>
  <c r="R10" i="98"/>
  <c r="B6" i="109" s="1"/>
  <c r="N184" i="98"/>
  <c r="N183" i="98"/>
  <c r="N185" i="98"/>
  <c r="N181" i="98"/>
  <c r="N182" i="98"/>
  <c r="N179" i="98"/>
  <c r="N178" i="98"/>
  <c r="Q456" i="98"/>
  <c r="R242" i="98"/>
  <c r="I21" i="109" s="1"/>
  <c r="R121" i="98"/>
  <c r="M7" i="109" s="1"/>
  <c r="R283" i="98"/>
  <c r="M22" i="109" s="1"/>
  <c r="R280" i="98"/>
  <c r="M19" i="109" s="1"/>
  <c r="R445" i="98"/>
  <c r="M37" i="109" s="1"/>
  <c r="R245" i="98"/>
  <c r="I24" i="109" s="1"/>
  <c r="R220" i="98"/>
  <c r="G19" i="109" s="1"/>
  <c r="R219" i="98"/>
  <c r="G18" i="109" s="1"/>
  <c r="R218" i="98"/>
  <c r="G17" i="109" s="1"/>
  <c r="R125" i="98"/>
  <c r="M11" i="109" s="1"/>
  <c r="R277" i="98"/>
  <c r="M16" i="109" s="1"/>
  <c r="R281" i="98"/>
  <c r="M20" i="109" s="1"/>
  <c r="R442" i="98"/>
  <c r="M34" i="109" s="1"/>
  <c r="R240" i="98"/>
  <c r="I19" i="109" s="1"/>
  <c r="L399" i="98"/>
  <c r="Q399" i="98" s="1"/>
  <c r="R398" i="98"/>
  <c r="I30" i="109" s="1"/>
  <c r="R223" i="98"/>
  <c r="G22" i="109" s="1"/>
  <c r="R222" i="98"/>
  <c r="G21" i="109" s="1"/>
  <c r="R117" i="98"/>
  <c r="R279" i="98"/>
  <c r="M18" i="109" s="1"/>
  <c r="R441" i="98"/>
  <c r="M33" i="109" s="1"/>
  <c r="R224" i="98"/>
  <c r="G23" i="109" s="1"/>
  <c r="R123" i="98"/>
  <c r="M9" i="109" s="1"/>
  <c r="R124" i="98"/>
  <c r="M10" i="109" s="1"/>
  <c r="R122" i="98"/>
  <c r="M8" i="109" s="1"/>
  <c r="R282" i="98"/>
  <c r="M21" i="109" s="1"/>
  <c r="R278" i="98"/>
  <c r="M17" i="109" s="1"/>
  <c r="R438" i="98"/>
  <c r="M30" i="109" s="1"/>
  <c r="R444" i="98"/>
  <c r="M36" i="109" s="1"/>
  <c r="R443" i="98"/>
  <c r="M35" i="109" s="1"/>
  <c r="R239" i="98"/>
  <c r="I18" i="109" s="1"/>
  <c r="R237" i="98"/>
  <c r="I16" i="109" s="1"/>
  <c r="R244" i="98"/>
  <c r="I23" i="109" s="1"/>
  <c r="R119" i="98"/>
  <c r="M5" i="109" s="1"/>
  <c r="R285" i="98"/>
  <c r="M24" i="109" s="1"/>
  <c r="N41" i="98"/>
  <c r="Q41" i="98" s="1"/>
  <c r="R225" i="98"/>
  <c r="G24" i="109" s="1"/>
  <c r="R221" i="98"/>
  <c r="G20" i="109" s="1"/>
  <c r="R118" i="98"/>
  <c r="M4" i="109" s="1"/>
  <c r="R284" i="98"/>
  <c r="M23" i="109" s="1"/>
  <c r="R437" i="98"/>
  <c r="M29" i="109" s="1"/>
  <c r="R440" i="98"/>
  <c r="M32" i="109" s="1"/>
  <c r="R439" i="98"/>
  <c r="M31" i="109" s="1"/>
  <c r="R238" i="98"/>
  <c r="I17" i="109" s="1"/>
  <c r="R241" i="98"/>
  <c r="I20" i="109" s="1"/>
  <c r="R243" i="98"/>
  <c r="I22" i="109" s="1"/>
  <c r="N37" i="98"/>
  <c r="Q37" i="98" s="1"/>
  <c r="N38" i="98"/>
  <c r="R22" i="98"/>
  <c r="C8" i="109" s="1"/>
  <c r="N43" i="98"/>
  <c r="N42" i="98"/>
  <c r="N45" i="98"/>
  <c r="L358" i="98"/>
  <c r="L338" i="98"/>
  <c r="L342" i="98"/>
  <c r="L337" i="98"/>
  <c r="L339" i="98"/>
  <c r="L343" i="98"/>
  <c r="L345" i="98"/>
  <c r="L340" i="98"/>
  <c r="L344" i="98"/>
  <c r="L341" i="98"/>
  <c r="L101" i="98"/>
  <c r="Q101" i="98" s="1"/>
  <c r="L98" i="98"/>
  <c r="Q98" i="98" s="1"/>
  <c r="L100" i="98"/>
  <c r="Q100" i="98" s="1"/>
  <c r="L102" i="98"/>
  <c r="Q102" i="98" s="1"/>
  <c r="L97" i="98"/>
  <c r="Q97" i="98" s="1"/>
  <c r="L104" i="98"/>
  <c r="Q104" i="98" s="1"/>
  <c r="L99" i="98"/>
  <c r="Q99" i="98" s="1"/>
  <c r="L105" i="98"/>
  <c r="Q105" i="98" s="1"/>
  <c r="L103" i="98"/>
  <c r="Q103" i="98" s="1"/>
  <c r="L290" i="98"/>
  <c r="Q290" i="98" s="1"/>
  <c r="L287" i="98"/>
  <c r="Q287" i="98" s="1"/>
  <c r="L294" i="98"/>
  <c r="Q294" i="98" s="1"/>
  <c r="L291" i="98"/>
  <c r="Q291" i="98" s="1"/>
  <c r="L288" i="98"/>
  <c r="Q288" i="98" s="1"/>
  <c r="L289" i="98"/>
  <c r="Q289" i="98" s="1"/>
  <c r="L295" i="98"/>
  <c r="Q295" i="98" s="1"/>
  <c r="L292" i="98"/>
  <c r="Q292" i="98" s="1"/>
  <c r="L293" i="98"/>
  <c r="Q293" i="98" s="1"/>
  <c r="L48" i="98"/>
  <c r="L52" i="98"/>
  <c r="L53" i="98"/>
  <c r="L50" i="98"/>
  <c r="L55" i="98"/>
  <c r="L51" i="98"/>
  <c r="L47" i="98"/>
  <c r="L49" i="98"/>
  <c r="L54" i="98"/>
  <c r="L130" i="98"/>
  <c r="Q130" i="98" s="1"/>
  <c r="L134" i="98"/>
  <c r="Q134" i="98" s="1"/>
  <c r="L131" i="98"/>
  <c r="Q131" i="98" s="1"/>
  <c r="L135" i="98"/>
  <c r="Q135" i="98" s="1"/>
  <c r="L133" i="98"/>
  <c r="Q133" i="98" s="1"/>
  <c r="L129" i="98"/>
  <c r="Q129" i="98" s="1"/>
  <c r="L128" i="98"/>
  <c r="Q128" i="98" s="1"/>
  <c r="L132" i="98"/>
  <c r="Q132" i="98" s="1"/>
  <c r="L181" i="98"/>
  <c r="L185" i="98"/>
  <c r="L177" i="98"/>
  <c r="L184" i="98"/>
  <c r="L178" i="98"/>
  <c r="L182" i="98"/>
  <c r="L179" i="98"/>
  <c r="L183" i="98"/>
  <c r="L180" i="98"/>
  <c r="N39" i="98"/>
  <c r="N44" i="98"/>
  <c r="R24" i="98"/>
  <c r="C10" i="109" s="1"/>
  <c r="M20" i="87"/>
  <c r="S136" i="98" s="1"/>
  <c r="M8" i="97"/>
  <c r="R171" i="98"/>
  <c r="B20" i="109" s="1"/>
  <c r="R18" i="98"/>
  <c r="C4" i="109" s="1"/>
  <c r="R168" i="98"/>
  <c r="B17" i="109" s="1"/>
  <c r="R21" i="98"/>
  <c r="C7" i="109" s="1"/>
  <c r="R172" i="98"/>
  <c r="B21" i="109" s="1"/>
  <c r="R23" i="98"/>
  <c r="C9" i="109" s="1"/>
  <c r="B3" i="109"/>
  <c r="R169" i="98"/>
  <c r="B18" i="109" s="1"/>
  <c r="R19" i="98"/>
  <c r="C5" i="109" s="1"/>
  <c r="R25" i="98"/>
  <c r="C11" i="109" s="1"/>
  <c r="N167" i="98"/>
  <c r="Q167" i="98" s="1"/>
  <c r="R173" i="98"/>
  <c r="B22" i="109" s="1"/>
  <c r="R174" i="98"/>
  <c r="B23" i="109" s="1"/>
  <c r="R175" i="98"/>
  <c r="B24" i="109" s="1"/>
  <c r="M13" i="97"/>
  <c r="L376" i="98"/>
  <c r="L20" i="95"/>
  <c r="L256" i="98" s="1"/>
  <c r="C12" i="96"/>
  <c r="D12" i="94"/>
  <c r="L19" i="97"/>
  <c r="L446" i="98" s="1"/>
  <c r="D11" i="96"/>
  <c r="M18" i="95"/>
  <c r="Q183" i="98" l="1"/>
  <c r="S183" i="98" s="1"/>
  <c r="Q178" i="98"/>
  <c r="S178" i="98" s="1"/>
  <c r="Q179" i="98"/>
  <c r="S179" i="98" s="1"/>
  <c r="Q185" i="98"/>
  <c r="S185" i="98" s="1"/>
  <c r="Q181" i="98"/>
  <c r="S181" i="98" s="1"/>
  <c r="Q182" i="98"/>
  <c r="S182" i="98" s="1"/>
  <c r="Q184" i="98"/>
  <c r="S184" i="98" s="1"/>
  <c r="R170" i="98"/>
  <c r="B19" i="109" s="1"/>
  <c r="Q170" i="98"/>
  <c r="Q286" i="98"/>
  <c r="G25" i="109"/>
  <c r="I25" i="109"/>
  <c r="M25" i="109"/>
  <c r="N187" i="98"/>
  <c r="R27" i="98"/>
  <c r="Q27" i="98"/>
  <c r="M3" i="109"/>
  <c r="M12" i="109" s="1"/>
  <c r="J3" i="109"/>
  <c r="B12" i="109"/>
  <c r="S167" i="98"/>
  <c r="R167" i="98"/>
  <c r="R252" i="98"/>
  <c r="J21" i="109" s="1"/>
  <c r="R249" i="98"/>
  <c r="J18" i="109" s="1"/>
  <c r="R253" i="98"/>
  <c r="J22" i="109" s="1"/>
  <c r="R250" i="98"/>
  <c r="J19" i="109" s="1"/>
  <c r="R254" i="98"/>
  <c r="J23" i="109" s="1"/>
  <c r="R248" i="98"/>
  <c r="J17" i="109" s="1"/>
  <c r="R251" i="98"/>
  <c r="J20" i="109" s="1"/>
  <c r="R255" i="98"/>
  <c r="J24" i="109" s="1"/>
  <c r="P20" i="87"/>
  <c r="Q87" i="98"/>
  <c r="Q92" i="98"/>
  <c r="R92" i="98"/>
  <c r="J8" i="109" s="1"/>
  <c r="Q91" i="98"/>
  <c r="R91" i="98"/>
  <c r="J7" i="109" s="1"/>
  <c r="Q89" i="98"/>
  <c r="R89" i="98"/>
  <c r="J5" i="109" s="1"/>
  <c r="R90" i="98"/>
  <c r="J6" i="109" s="1"/>
  <c r="Q90" i="98"/>
  <c r="Q95" i="98"/>
  <c r="R95" i="98"/>
  <c r="J11" i="109" s="1"/>
  <c r="Q93" i="98"/>
  <c r="R93" i="98"/>
  <c r="J9" i="109" s="1"/>
  <c r="R94" i="98"/>
  <c r="J10" i="109" s="1"/>
  <c r="Q94" i="98"/>
  <c r="Q88" i="98"/>
  <c r="R88" i="98"/>
  <c r="J4" i="109" s="1"/>
  <c r="Q126" i="98"/>
  <c r="Q96" i="98"/>
  <c r="N351" i="98"/>
  <c r="R191" i="98"/>
  <c r="E20" i="109" s="1"/>
  <c r="N349" i="98"/>
  <c r="R189" i="98"/>
  <c r="E18" i="109" s="1"/>
  <c r="R329" i="98"/>
  <c r="B31" i="109" s="1"/>
  <c r="N341" i="98"/>
  <c r="Q341" i="98" s="1"/>
  <c r="N348" i="98"/>
  <c r="R188" i="98"/>
  <c r="E17" i="109" s="1"/>
  <c r="R32" i="98"/>
  <c r="E8" i="109" s="1"/>
  <c r="Q32" i="98"/>
  <c r="N195" i="98"/>
  <c r="Q195" i="98" s="1"/>
  <c r="R35" i="98"/>
  <c r="E11" i="109" s="1"/>
  <c r="Q35" i="98"/>
  <c r="N203" i="98"/>
  <c r="Q203" i="98" s="1"/>
  <c r="Q43" i="98"/>
  <c r="N344" i="98"/>
  <c r="Q344" i="98" s="1"/>
  <c r="R31" i="98"/>
  <c r="E7" i="109" s="1"/>
  <c r="Q31" i="98"/>
  <c r="N205" i="98"/>
  <c r="Q205" i="98" s="1"/>
  <c r="Q45" i="98"/>
  <c r="N198" i="98"/>
  <c r="Q198" i="98" s="1"/>
  <c r="Q38" i="98"/>
  <c r="N338" i="98"/>
  <c r="Q338" i="98" s="1"/>
  <c r="N345" i="98"/>
  <c r="Q345" i="98" s="1"/>
  <c r="N30" i="98"/>
  <c r="N190" i="98" s="1"/>
  <c r="Q190" i="98" s="1"/>
  <c r="Q20" i="98"/>
  <c r="Q16" i="98" s="1"/>
  <c r="N352" i="98"/>
  <c r="R192" i="98"/>
  <c r="E21" i="109" s="1"/>
  <c r="Q33" i="98"/>
  <c r="R33" i="98"/>
  <c r="E9" i="109" s="1"/>
  <c r="N199" i="98"/>
  <c r="Q199" i="98" s="1"/>
  <c r="Q39" i="98"/>
  <c r="N342" i="98"/>
  <c r="Q342" i="98" s="1"/>
  <c r="R194" i="98"/>
  <c r="E23" i="109" s="1"/>
  <c r="N354" i="98"/>
  <c r="Q34" i="98"/>
  <c r="R34" i="98"/>
  <c r="E10" i="109" s="1"/>
  <c r="N204" i="98"/>
  <c r="Q204" i="98" s="1"/>
  <c r="Q44" i="98"/>
  <c r="N202" i="98"/>
  <c r="Q202" i="98" s="1"/>
  <c r="Q42" i="98"/>
  <c r="N339" i="98"/>
  <c r="Q339" i="98" s="1"/>
  <c r="N343" i="98"/>
  <c r="Q343" i="98" s="1"/>
  <c r="N330" i="98"/>
  <c r="Q330" i="98" s="1"/>
  <c r="N353" i="98"/>
  <c r="R193" i="98"/>
  <c r="E22" i="109" s="1"/>
  <c r="Q29" i="98"/>
  <c r="R29" i="98"/>
  <c r="E5" i="109" s="1"/>
  <c r="R28" i="98"/>
  <c r="E4" i="109" s="1"/>
  <c r="Q28" i="98"/>
  <c r="R20" i="98"/>
  <c r="C6" i="109" s="1"/>
  <c r="N180" i="98"/>
  <c r="Q180" i="98" s="1"/>
  <c r="N40" i="98"/>
  <c r="P7" i="109"/>
  <c r="N201" i="98"/>
  <c r="Q201" i="98" s="1"/>
  <c r="Q436" i="98"/>
  <c r="R41" i="98"/>
  <c r="D7" i="109" s="1"/>
  <c r="N51" i="98"/>
  <c r="R132" i="98"/>
  <c r="N8" i="109" s="1"/>
  <c r="R133" i="98"/>
  <c r="N9" i="109" s="1"/>
  <c r="R292" i="98"/>
  <c r="N21" i="109" s="1"/>
  <c r="R288" i="98"/>
  <c r="N17" i="109" s="1"/>
  <c r="R290" i="98"/>
  <c r="N19" i="109" s="1"/>
  <c r="R103" i="98"/>
  <c r="K9" i="109" s="1"/>
  <c r="R99" i="98"/>
  <c r="K5" i="109" s="1"/>
  <c r="R101" i="98"/>
  <c r="K7" i="109" s="1"/>
  <c r="R134" i="98"/>
  <c r="N10" i="109" s="1"/>
  <c r="R291" i="98"/>
  <c r="N20" i="109" s="1"/>
  <c r="R100" i="98"/>
  <c r="K6" i="109" s="1"/>
  <c r="R127" i="98"/>
  <c r="R135" i="98"/>
  <c r="N11" i="109" s="1"/>
  <c r="R130" i="98"/>
  <c r="N6" i="109" s="1"/>
  <c r="R295" i="98"/>
  <c r="N24" i="109" s="1"/>
  <c r="R294" i="98"/>
  <c r="N23" i="109" s="1"/>
  <c r="R105" i="98"/>
  <c r="K11" i="109" s="1"/>
  <c r="R97" i="98"/>
  <c r="L400" i="98"/>
  <c r="Q400" i="98" s="1"/>
  <c r="R399" i="98"/>
  <c r="I31" i="109" s="1"/>
  <c r="R128" i="98"/>
  <c r="N4" i="109" s="1"/>
  <c r="R104" i="98"/>
  <c r="K10" i="109" s="1"/>
  <c r="R129" i="98"/>
  <c r="N5" i="109" s="1"/>
  <c r="R131" i="98"/>
  <c r="N7" i="109" s="1"/>
  <c r="R293" i="98"/>
  <c r="N22" i="109" s="1"/>
  <c r="R289" i="98"/>
  <c r="N18" i="109" s="1"/>
  <c r="R287" i="98"/>
  <c r="N16" i="109" s="1"/>
  <c r="R102" i="98"/>
  <c r="K8" i="109" s="1"/>
  <c r="R98" i="98"/>
  <c r="K4" i="109" s="1"/>
  <c r="R331" i="98"/>
  <c r="B33" i="109" s="1"/>
  <c r="P9" i="109"/>
  <c r="N48" i="98"/>
  <c r="P4" i="109"/>
  <c r="P5" i="109"/>
  <c r="R45" i="98"/>
  <c r="D11" i="109" s="1"/>
  <c r="P10" i="109"/>
  <c r="N55" i="98"/>
  <c r="R328" i="98"/>
  <c r="B30" i="109" s="1"/>
  <c r="R38" i="98"/>
  <c r="D4" i="109" s="1"/>
  <c r="N53" i="98"/>
  <c r="R43" i="98"/>
  <c r="D9" i="109" s="1"/>
  <c r="R42" i="98"/>
  <c r="D8" i="109" s="1"/>
  <c r="N52" i="98"/>
  <c r="L359" i="98"/>
  <c r="L257" i="98"/>
  <c r="Q257" i="98" s="1"/>
  <c r="L260" i="98"/>
  <c r="Q260" i="98" s="1"/>
  <c r="L258" i="98"/>
  <c r="Q258" i="98" s="1"/>
  <c r="L261" i="98"/>
  <c r="Q261" i="98" s="1"/>
  <c r="L259" i="98"/>
  <c r="Q259" i="98" s="1"/>
  <c r="L265" i="98"/>
  <c r="Q265" i="98" s="1"/>
  <c r="L262" i="98"/>
  <c r="Q262" i="98" s="1"/>
  <c r="L263" i="98"/>
  <c r="Q263" i="98" s="1"/>
  <c r="L264" i="98"/>
  <c r="Q264" i="98" s="1"/>
  <c r="L380" i="98"/>
  <c r="Q380" i="98" s="1"/>
  <c r="L384" i="98"/>
  <c r="Q384" i="98" s="1"/>
  <c r="L378" i="98"/>
  <c r="Q378" i="98" s="1"/>
  <c r="L377" i="98"/>
  <c r="Q377" i="98" s="1"/>
  <c r="L381" i="98"/>
  <c r="Q381" i="98" s="1"/>
  <c r="L385" i="98"/>
  <c r="Q385" i="98" s="1"/>
  <c r="L382" i="98"/>
  <c r="Q382" i="98" s="1"/>
  <c r="L379" i="98"/>
  <c r="Q379" i="98" s="1"/>
  <c r="L383" i="98"/>
  <c r="Q383" i="98" s="1"/>
  <c r="L451" i="98"/>
  <c r="Q451" i="98" s="1"/>
  <c r="L455" i="98"/>
  <c r="Q455" i="98" s="1"/>
  <c r="L448" i="98"/>
  <c r="Q448" i="98" s="1"/>
  <c r="L452" i="98"/>
  <c r="Q452" i="98" s="1"/>
  <c r="L447" i="98"/>
  <c r="Q447" i="98" s="1"/>
  <c r="L449" i="98"/>
  <c r="Q449" i="98" s="1"/>
  <c r="L453" i="98"/>
  <c r="Q453" i="98" s="1"/>
  <c r="L450" i="98"/>
  <c r="Q450" i="98" s="1"/>
  <c r="L454" i="98"/>
  <c r="Q454" i="98" s="1"/>
  <c r="R39" i="98"/>
  <c r="D5" i="109" s="1"/>
  <c r="R44" i="98"/>
  <c r="D10" i="109" s="1"/>
  <c r="N49" i="98"/>
  <c r="Q49" i="98" s="1"/>
  <c r="N54" i="98"/>
  <c r="M19" i="97"/>
  <c r="R332" i="98"/>
  <c r="B34" i="109" s="1"/>
  <c r="R334" i="98"/>
  <c r="B36" i="109" s="1"/>
  <c r="N327" i="98"/>
  <c r="Q327" i="98" s="1"/>
  <c r="R333" i="98"/>
  <c r="B35" i="109" s="1"/>
  <c r="N177" i="98"/>
  <c r="Q177" i="98" s="1"/>
  <c r="R335" i="98"/>
  <c r="B37" i="109" s="1"/>
  <c r="R182" i="98"/>
  <c r="C21" i="109" s="1"/>
  <c r="R183" i="98"/>
  <c r="C22" i="109" s="1"/>
  <c r="R178" i="98"/>
  <c r="C17" i="109" s="1"/>
  <c r="R185" i="98"/>
  <c r="C24" i="109" s="1"/>
  <c r="R184" i="98"/>
  <c r="C23" i="109" s="1"/>
  <c r="R179" i="98"/>
  <c r="C18" i="109" s="1"/>
  <c r="R181" i="98"/>
  <c r="C20" i="109" s="1"/>
  <c r="L11" i="97"/>
  <c r="L20" i="97"/>
  <c r="D12" i="96"/>
  <c r="M20" i="95"/>
  <c r="M19" i="95"/>
  <c r="Q166" i="98" l="1"/>
  <c r="Q176" i="98"/>
  <c r="N347" i="98"/>
  <c r="R347" i="98" s="1"/>
  <c r="E29" i="109" s="1"/>
  <c r="Q187" i="98"/>
  <c r="Q186" i="98" s="1"/>
  <c r="S177" i="98"/>
  <c r="Q256" i="98"/>
  <c r="R187" i="98"/>
  <c r="E16" i="109" s="1"/>
  <c r="J25" i="109"/>
  <c r="N25" i="109"/>
  <c r="R345" i="98"/>
  <c r="C37" i="109" s="1"/>
  <c r="E3" i="109"/>
  <c r="J12" i="109"/>
  <c r="K3" i="109"/>
  <c r="K12" i="109" s="1"/>
  <c r="N3" i="109"/>
  <c r="N12" i="109" s="1"/>
  <c r="R410" i="98"/>
  <c r="J32" i="109" s="1"/>
  <c r="R414" i="98"/>
  <c r="J36" i="109" s="1"/>
  <c r="R413" i="98"/>
  <c r="J35" i="109" s="1"/>
  <c r="R407" i="98"/>
  <c r="J29" i="109" s="1"/>
  <c r="R411" i="98"/>
  <c r="J33" i="109" s="1"/>
  <c r="R415" i="98"/>
  <c r="J37" i="109" s="1"/>
  <c r="R409" i="98"/>
  <c r="J31" i="109" s="1"/>
  <c r="R408" i="98"/>
  <c r="J30" i="109" s="1"/>
  <c r="R412" i="98"/>
  <c r="J34" i="109" s="1"/>
  <c r="S170" i="98"/>
  <c r="Q159" i="98"/>
  <c r="Q86" i="98"/>
  <c r="R341" i="98"/>
  <c r="C33" i="109" s="1"/>
  <c r="N361" i="98"/>
  <c r="R343" i="98"/>
  <c r="C35" i="109" s="1"/>
  <c r="R342" i="98"/>
  <c r="C34" i="109" s="1"/>
  <c r="R49" i="98"/>
  <c r="F5" i="109" s="1"/>
  <c r="N212" i="98"/>
  <c r="Q212" i="98" s="1"/>
  <c r="Q322" i="98" s="1"/>
  <c r="R52" i="98"/>
  <c r="F8" i="109" s="1"/>
  <c r="Q52" i="98"/>
  <c r="Q162" i="98" s="1"/>
  <c r="N213" i="98"/>
  <c r="Q213" i="98" s="1"/>
  <c r="Q323" i="98" s="1"/>
  <c r="R53" i="98"/>
  <c r="F9" i="109" s="1"/>
  <c r="Q53" i="98"/>
  <c r="Q163" i="98" s="1"/>
  <c r="N364" i="98"/>
  <c r="Q30" i="98"/>
  <c r="Q26" i="98" s="1"/>
  <c r="R30" i="98"/>
  <c r="E6" i="109" s="1"/>
  <c r="N365" i="98"/>
  <c r="N363" i="98"/>
  <c r="R349" i="98"/>
  <c r="E31" i="109" s="1"/>
  <c r="Q349" i="98"/>
  <c r="N340" i="98"/>
  <c r="Q340" i="98" s="1"/>
  <c r="S180" i="98"/>
  <c r="Q353" i="98"/>
  <c r="R353" i="98"/>
  <c r="E35" i="109" s="1"/>
  <c r="N362" i="98"/>
  <c r="R354" i="98"/>
  <c r="E36" i="109" s="1"/>
  <c r="Q354" i="98"/>
  <c r="R352" i="98"/>
  <c r="E34" i="109" s="1"/>
  <c r="Q352" i="98"/>
  <c r="N358" i="98"/>
  <c r="Q358" i="98" s="1"/>
  <c r="N355" i="98"/>
  <c r="R195" i="98"/>
  <c r="E24" i="109" s="1"/>
  <c r="N208" i="98"/>
  <c r="Q208" i="98" s="1"/>
  <c r="Q318" i="98" s="1"/>
  <c r="R48" i="98"/>
  <c r="F4" i="109" s="1"/>
  <c r="Q48" i="98"/>
  <c r="Q158" i="98" s="1"/>
  <c r="N211" i="98"/>
  <c r="Q211" i="98" s="1"/>
  <c r="Q321" i="98" s="1"/>
  <c r="Q51" i="98"/>
  <c r="Q161" i="98" s="1"/>
  <c r="R51" i="98"/>
  <c r="F7" i="109" s="1"/>
  <c r="N200" i="98"/>
  <c r="Q40" i="98"/>
  <c r="Q36" i="98" s="1"/>
  <c r="R190" i="98"/>
  <c r="E19" i="109" s="1"/>
  <c r="N350" i="98"/>
  <c r="Q348" i="98"/>
  <c r="R348" i="98"/>
  <c r="E30" i="109" s="1"/>
  <c r="R54" i="98"/>
  <c r="F10" i="109" s="1"/>
  <c r="Q54" i="98"/>
  <c r="Q164" i="98" s="1"/>
  <c r="N215" i="98"/>
  <c r="Q215" i="98" s="1"/>
  <c r="Q325" i="98" s="1"/>
  <c r="Q55" i="98"/>
  <c r="Q165" i="98" s="1"/>
  <c r="N359" i="98"/>
  <c r="Q359" i="98" s="1"/>
  <c r="Q351" i="98"/>
  <c r="R351" i="98"/>
  <c r="E33" i="109" s="1"/>
  <c r="R388" i="98"/>
  <c r="H30" i="109" s="1"/>
  <c r="R387" i="98"/>
  <c r="H29" i="109" s="1"/>
  <c r="R395" i="98"/>
  <c r="H37" i="109" s="1"/>
  <c r="R394" i="98"/>
  <c r="H36" i="109" s="1"/>
  <c r="R389" i="98"/>
  <c r="H31" i="109" s="1"/>
  <c r="R391" i="98"/>
  <c r="H33" i="109" s="1"/>
  <c r="R390" i="98"/>
  <c r="H32" i="109" s="1"/>
  <c r="R393" i="98"/>
  <c r="H35" i="109" s="1"/>
  <c r="R392" i="98"/>
  <c r="H34" i="109" s="1"/>
  <c r="R330" i="98"/>
  <c r="B32" i="109" s="1"/>
  <c r="R180" i="98"/>
  <c r="C19" i="109" s="1"/>
  <c r="R40" i="98"/>
  <c r="D6" i="109" s="1"/>
  <c r="N50" i="98"/>
  <c r="P24" i="109"/>
  <c r="P18" i="109"/>
  <c r="S18" i="109" s="1"/>
  <c r="P21" i="109"/>
  <c r="S21" i="109" s="1"/>
  <c r="P23" i="109"/>
  <c r="S23" i="109" s="1"/>
  <c r="P22" i="109"/>
  <c r="S22" i="109" s="1"/>
  <c r="P17" i="109"/>
  <c r="S17" i="109" s="1"/>
  <c r="P16" i="109"/>
  <c r="S16" i="109" s="1"/>
  <c r="R201" i="98"/>
  <c r="D20" i="109" s="1"/>
  <c r="P19" i="109"/>
  <c r="R454" i="98"/>
  <c r="N36" i="109" s="1"/>
  <c r="P20" i="109"/>
  <c r="S20" i="109" s="1"/>
  <c r="R450" i="98"/>
  <c r="N32" i="109" s="1"/>
  <c r="R447" i="98"/>
  <c r="N29" i="109" s="1"/>
  <c r="R383" i="98"/>
  <c r="G35" i="109" s="1"/>
  <c r="R378" i="98"/>
  <c r="G30" i="109" s="1"/>
  <c r="R264" i="98"/>
  <c r="K23" i="109" s="1"/>
  <c r="Q23" i="109"/>
  <c r="R261" i="98"/>
  <c r="K20" i="109" s="1"/>
  <c r="R257" i="98"/>
  <c r="K16" i="109" s="1"/>
  <c r="L401" i="98"/>
  <c r="Q401" i="98" s="1"/>
  <c r="R400" i="98"/>
  <c r="I32" i="109" s="1"/>
  <c r="R448" i="98"/>
  <c r="N30" i="109" s="1"/>
  <c r="R377" i="98"/>
  <c r="G29" i="109" s="1"/>
  <c r="R380" i="98"/>
  <c r="G32" i="109" s="1"/>
  <c r="R259" i="98"/>
  <c r="K18" i="109" s="1"/>
  <c r="Q18" i="109"/>
  <c r="R455" i="98"/>
  <c r="N37" i="109" s="1"/>
  <c r="R379" i="98"/>
  <c r="G31" i="109" s="1"/>
  <c r="R385" i="98"/>
  <c r="G37" i="109" s="1"/>
  <c r="R263" i="98"/>
  <c r="K22" i="109" s="1"/>
  <c r="Q22" i="109"/>
  <c r="R262" i="98"/>
  <c r="K21" i="109" s="1"/>
  <c r="Q21" i="109"/>
  <c r="R258" i="98"/>
  <c r="K17" i="109" s="1"/>
  <c r="Q17" i="109"/>
  <c r="R449" i="98"/>
  <c r="N31" i="109" s="1"/>
  <c r="R382" i="98"/>
  <c r="G34" i="109" s="1"/>
  <c r="R453" i="98"/>
  <c r="N35" i="109" s="1"/>
  <c r="R452" i="98"/>
  <c r="N34" i="109" s="1"/>
  <c r="R451" i="98"/>
  <c r="N33" i="109" s="1"/>
  <c r="R381" i="98"/>
  <c r="G33" i="109" s="1"/>
  <c r="R384" i="98"/>
  <c r="G36" i="109" s="1"/>
  <c r="R265" i="98"/>
  <c r="K24" i="109" s="1"/>
  <c r="Q24" i="109"/>
  <c r="R260" i="98"/>
  <c r="K19" i="109" s="1"/>
  <c r="Q19" i="109"/>
  <c r="R338" i="98"/>
  <c r="C30" i="109" s="1"/>
  <c r="R202" i="98"/>
  <c r="D21" i="109" s="1"/>
  <c r="P6" i="109"/>
  <c r="L360" i="98"/>
  <c r="L361" i="98" s="1"/>
  <c r="R198" i="98"/>
  <c r="D17" i="109" s="1"/>
  <c r="Q7" i="109"/>
  <c r="Q8" i="109"/>
  <c r="Q9" i="109"/>
  <c r="R203" i="98"/>
  <c r="D22" i="109" s="1"/>
  <c r="R344" i="98"/>
  <c r="C36" i="109" s="1"/>
  <c r="R339" i="98"/>
  <c r="C31" i="109" s="1"/>
  <c r="R199" i="98"/>
  <c r="D18" i="109" s="1"/>
  <c r="N337" i="98"/>
  <c r="Q337" i="98" s="1"/>
  <c r="N209" i="98"/>
  <c r="Q209" i="98" s="1"/>
  <c r="Q319" i="98" s="1"/>
  <c r="N214" i="98"/>
  <c r="Q214" i="98" s="1"/>
  <c r="Q324" i="98" s="1"/>
  <c r="Q326" i="98"/>
  <c r="R37" i="98"/>
  <c r="R55" i="98"/>
  <c r="F11" i="109" s="1"/>
  <c r="AA8" i="90"/>
  <c r="L366" i="98"/>
  <c r="N47" i="98"/>
  <c r="N197" i="98"/>
  <c r="Q197" i="98" s="1"/>
  <c r="R204" i="98"/>
  <c r="D23" i="109" s="1"/>
  <c r="R205" i="98"/>
  <c r="D24" i="109" s="1"/>
  <c r="M20" i="97"/>
  <c r="L416" i="98"/>
  <c r="Q426" i="98"/>
  <c r="Q347" i="98" l="1"/>
  <c r="R200" i="98"/>
  <c r="D19" i="109" s="1"/>
  <c r="Q200" i="98"/>
  <c r="S166" i="98"/>
  <c r="E25" i="109"/>
  <c r="K25" i="109"/>
  <c r="E12" i="109"/>
  <c r="D3" i="109"/>
  <c r="D12" i="109" s="1"/>
  <c r="Q406" i="98"/>
  <c r="Q361" i="98"/>
  <c r="R340" i="98"/>
  <c r="C32" i="109" s="1"/>
  <c r="N369" i="98"/>
  <c r="T31" i="109"/>
  <c r="R209" i="98"/>
  <c r="F18" i="109" s="1"/>
  <c r="N360" i="98"/>
  <c r="Q360" i="98" s="1"/>
  <c r="N373" i="98"/>
  <c r="T35" i="109"/>
  <c r="R213" i="98"/>
  <c r="F22" i="109" s="1"/>
  <c r="R50" i="98"/>
  <c r="F6" i="109" s="1"/>
  <c r="Q50" i="98"/>
  <c r="R350" i="98"/>
  <c r="E32" i="109" s="1"/>
  <c r="Q350" i="98"/>
  <c r="Q355" i="98"/>
  <c r="R355" i="98"/>
  <c r="E37" i="109" s="1"/>
  <c r="R214" i="98"/>
  <c r="F23" i="109" s="1"/>
  <c r="N374" i="98"/>
  <c r="T36" i="109"/>
  <c r="R208" i="98"/>
  <c r="F17" i="109" s="1"/>
  <c r="N368" i="98"/>
  <c r="T30" i="109"/>
  <c r="T37" i="109"/>
  <c r="R215" i="98"/>
  <c r="F24" i="109" s="1"/>
  <c r="N375" i="98"/>
  <c r="R211" i="98"/>
  <c r="F20" i="109" s="1"/>
  <c r="N371" i="98"/>
  <c r="T33" i="109"/>
  <c r="R212" i="98"/>
  <c r="F21" i="109" s="1"/>
  <c r="N372" i="98"/>
  <c r="T34" i="109"/>
  <c r="Q47" i="98"/>
  <c r="Q157" i="98" s="1"/>
  <c r="R47" i="98"/>
  <c r="Q386" i="98"/>
  <c r="N210" i="98"/>
  <c r="Q210" i="98" s="1"/>
  <c r="Q16" i="109"/>
  <c r="S19" i="109"/>
  <c r="S33" i="109"/>
  <c r="T17" i="109"/>
  <c r="T21" i="109"/>
  <c r="L402" i="98"/>
  <c r="Q402" i="98" s="1"/>
  <c r="R401" i="98"/>
  <c r="I33" i="109" s="1"/>
  <c r="Q20" i="109"/>
  <c r="T20" i="109" s="1"/>
  <c r="T22" i="109"/>
  <c r="Q11" i="109"/>
  <c r="T24" i="109" s="1"/>
  <c r="R358" i="98"/>
  <c r="D30" i="109" s="1"/>
  <c r="P11" i="109"/>
  <c r="S24" i="109" s="1"/>
  <c r="S37" i="109"/>
  <c r="S36" i="109"/>
  <c r="S35" i="109"/>
  <c r="S34" i="109"/>
  <c r="S30" i="109"/>
  <c r="L368" i="98"/>
  <c r="L372" i="98"/>
  <c r="L367" i="98"/>
  <c r="L371" i="98"/>
  <c r="L369" i="98"/>
  <c r="L373" i="98"/>
  <c r="L370" i="98"/>
  <c r="L374" i="98"/>
  <c r="L375" i="98"/>
  <c r="L362" i="98"/>
  <c r="Q362" i="98" s="1"/>
  <c r="Q446" i="98"/>
  <c r="L419" i="98"/>
  <c r="Q419" i="98" s="1"/>
  <c r="L423" i="98"/>
  <c r="Q423" i="98" s="1"/>
  <c r="L420" i="98"/>
  <c r="Q420" i="98" s="1"/>
  <c r="L424" i="98"/>
  <c r="Q424" i="98" s="1"/>
  <c r="L421" i="98"/>
  <c r="Q421" i="98" s="1"/>
  <c r="L425" i="98"/>
  <c r="Q425" i="98" s="1"/>
  <c r="L418" i="98"/>
  <c r="Q418" i="98" s="1"/>
  <c r="L422" i="98"/>
  <c r="Q422" i="98" s="1"/>
  <c r="L417" i="98"/>
  <c r="Q417" i="98" s="1"/>
  <c r="Q336" i="98"/>
  <c r="R359" i="98"/>
  <c r="D31" i="109" s="1"/>
  <c r="S176" i="98"/>
  <c r="R361" i="98"/>
  <c r="D33" i="109" s="1"/>
  <c r="M11" i="97"/>
  <c r="N207" i="98"/>
  <c r="Q207" i="98" s="1"/>
  <c r="R197" i="98"/>
  <c r="D16" i="109" s="1"/>
  <c r="N357" i="98"/>
  <c r="Q357" i="98" s="1"/>
  <c r="Q376" i="98"/>
  <c r="B16" i="109"/>
  <c r="Q206" i="98" l="1"/>
  <c r="Q320" i="98"/>
  <c r="T32" i="109" s="1"/>
  <c r="Q196" i="98"/>
  <c r="Q317" i="98"/>
  <c r="D25" i="109"/>
  <c r="B25" i="109"/>
  <c r="F3" i="109"/>
  <c r="F12" i="109" s="1"/>
  <c r="Q160" i="98"/>
  <c r="Q156" i="98" s="1"/>
  <c r="S157" i="98" s="1"/>
  <c r="R360" i="98"/>
  <c r="D32" i="109" s="1"/>
  <c r="Q346" i="98"/>
  <c r="Q369" i="98"/>
  <c r="Q479" i="98" s="1"/>
  <c r="R369" i="98"/>
  <c r="F31" i="109" s="1"/>
  <c r="Q375" i="98"/>
  <c r="R375" i="98"/>
  <c r="F37" i="109" s="1"/>
  <c r="Q374" i="98"/>
  <c r="R374" i="98"/>
  <c r="F36" i="109" s="1"/>
  <c r="Q6" i="109"/>
  <c r="T19" i="109" s="1"/>
  <c r="R210" i="98"/>
  <c r="F19" i="109" s="1"/>
  <c r="N370" i="98"/>
  <c r="R372" i="98"/>
  <c r="F34" i="109" s="1"/>
  <c r="Q372" i="98"/>
  <c r="Q482" i="98" s="1"/>
  <c r="Q371" i="98"/>
  <c r="Q481" i="98" s="1"/>
  <c r="R371" i="98"/>
  <c r="F33" i="109" s="1"/>
  <c r="R368" i="98"/>
  <c r="F30" i="109" s="1"/>
  <c r="Q368" i="98"/>
  <c r="Q478" i="98" s="1"/>
  <c r="Q373" i="98"/>
  <c r="R373" i="98"/>
  <c r="F35" i="109" s="1"/>
  <c r="R207" i="98"/>
  <c r="F16" i="109" s="1"/>
  <c r="R425" i="98"/>
  <c r="K37" i="109" s="1"/>
  <c r="R420" i="98"/>
  <c r="K32" i="109" s="1"/>
  <c r="R422" i="98"/>
  <c r="K34" i="109" s="1"/>
  <c r="R421" i="98"/>
  <c r="K33" i="109" s="1"/>
  <c r="R423" i="98"/>
  <c r="K35" i="109" s="1"/>
  <c r="L403" i="98"/>
  <c r="Q403" i="98" s="1"/>
  <c r="R402" i="98"/>
  <c r="I34" i="109" s="1"/>
  <c r="R418" i="98"/>
  <c r="K30" i="109" s="1"/>
  <c r="R417" i="98"/>
  <c r="K29" i="109" s="1"/>
  <c r="R424" i="98"/>
  <c r="K36" i="109" s="1"/>
  <c r="R419" i="98"/>
  <c r="K31" i="109" s="1"/>
  <c r="Q5" i="109"/>
  <c r="T18" i="109" s="1"/>
  <c r="R7" i="109"/>
  <c r="Q10" i="109"/>
  <c r="T23" i="109" s="1"/>
  <c r="S31" i="109"/>
  <c r="L363" i="98"/>
  <c r="Q363" i="98" s="1"/>
  <c r="R8" i="109"/>
  <c r="Q46" i="98"/>
  <c r="R156" i="98" s="1"/>
  <c r="R362" i="98"/>
  <c r="D34" i="109" s="1"/>
  <c r="R357" i="98"/>
  <c r="D29" i="109" s="1"/>
  <c r="N367" i="98"/>
  <c r="R316" i="98" l="1"/>
  <c r="Q316" i="98"/>
  <c r="Q483" i="98"/>
  <c r="F25" i="109"/>
  <c r="S156" i="98"/>
  <c r="S32" i="109"/>
  <c r="S29" i="109"/>
  <c r="Q370" i="98"/>
  <c r="R370" i="98"/>
  <c r="F32" i="109" s="1"/>
  <c r="Q367" i="98"/>
  <c r="R367" i="98"/>
  <c r="F29" i="109" s="1"/>
  <c r="R17" i="109"/>
  <c r="U17" i="109" s="1"/>
  <c r="R16" i="109"/>
  <c r="R18" i="109"/>
  <c r="R20" i="109"/>
  <c r="U20" i="109" s="1"/>
  <c r="R19" i="109"/>
  <c r="U31" i="109"/>
  <c r="U30" i="109"/>
  <c r="U33" i="109"/>
  <c r="R21" i="109"/>
  <c r="U21" i="109" s="1"/>
  <c r="U34" i="109"/>
  <c r="L404" i="98"/>
  <c r="Q404" i="98" s="1"/>
  <c r="R403" i="98"/>
  <c r="I35" i="109" s="1"/>
  <c r="R5" i="109"/>
  <c r="Q3" i="109"/>
  <c r="T16" i="109" s="1"/>
  <c r="R6" i="109"/>
  <c r="R3" i="109"/>
  <c r="L364" i="98"/>
  <c r="Q364" i="98" s="1"/>
  <c r="R9" i="109"/>
  <c r="R363" i="98"/>
  <c r="D35" i="109" s="1"/>
  <c r="Q416" i="98"/>
  <c r="R327" i="98"/>
  <c r="S316" i="98" l="1"/>
  <c r="S317" i="98"/>
  <c r="Q477" i="98"/>
  <c r="U29" i="109" s="1"/>
  <c r="Q484" i="98"/>
  <c r="Q480" i="98"/>
  <c r="U32" i="109" s="1"/>
  <c r="U18" i="109"/>
  <c r="B29" i="109"/>
  <c r="Q366" i="98"/>
  <c r="U19" i="109"/>
  <c r="U16" i="109"/>
  <c r="T29" i="109"/>
  <c r="R22" i="109"/>
  <c r="U22" i="109" s="1"/>
  <c r="L405" i="98"/>
  <c r="Q405" i="98" s="1"/>
  <c r="R404" i="98"/>
  <c r="I36" i="109" s="1"/>
  <c r="R23" i="109"/>
  <c r="U35" i="109"/>
  <c r="L365" i="98"/>
  <c r="Q365" i="98" s="1"/>
  <c r="R10" i="109"/>
  <c r="R364" i="98"/>
  <c r="D36" i="109" s="1"/>
  <c r="R17" i="98"/>
  <c r="Q485" i="98" l="1"/>
  <c r="C3" i="109"/>
  <c r="C12" i="109" s="1"/>
  <c r="U23" i="109"/>
  <c r="U36" i="109"/>
  <c r="R405" i="98"/>
  <c r="I37" i="109" s="1"/>
  <c r="R24" i="109"/>
  <c r="R11" i="109"/>
  <c r="R365" i="98"/>
  <c r="D37" i="109" s="1"/>
  <c r="R177" i="98"/>
  <c r="P12" i="109" l="1"/>
  <c r="C16" i="109"/>
  <c r="U24" i="109"/>
  <c r="U37" i="109"/>
  <c r="C25" i="109" l="1"/>
  <c r="P25" i="109"/>
  <c r="R337" i="98"/>
  <c r="C29" i="109" l="1"/>
  <c r="P38" i="109" s="1"/>
  <c r="Q356" i="98"/>
  <c r="A12" i="23"/>
  <c r="Q476" i="98" l="1"/>
  <c r="S477" i="98" s="1"/>
  <c r="Q396" i="98"/>
  <c r="R476" i="98" s="1"/>
  <c r="S476" i="98" l="1"/>
  <c r="AR25" i="99" l="1"/>
  <c r="AP17" i="99"/>
  <c r="B38" i="112" s="1"/>
  <c r="BD17" i="99"/>
  <c r="AR24" i="99"/>
  <c r="AQ18" i="99"/>
  <c r="AS18" i="99"/>
  <c r="AR16" i="99"/>
  <c r="AR15" i="99"/>
  <c r="AS16" i="99"/>
  <c r="AQ16" i="99"/>
  <c r="U27" i="99"/>
  <c r="AQ20" i="99"/>
  <c r="AS20" i="99"/>
  <c r="U15" i="99"/>
  <c r="BC15" i="99" s="1"/>
  <c r="AS15" i="99"/>
  <c r="AR20" i="99"/>
  <c r="AR18" i="99"/>
  <c r="AR19" i="99"/>
  <c r="AQ19" i="99"/>
  <c r="AS19" i="99"/>
  <c r="V30" i="99"/>
  <c r="F38" i="37"/>
  <c r="W30" i="99"/>
  <c r="AQ27" i="99" l="1"/>
  <c r="BC27" i="99"/>
  <c r="C50" i="37"/>
  <c r="C40" i="38" s="1"/>
  <c r="C50" i="112"/>
  <c r="F50" i="112" s="1"/>
  <c r="C40" i="37"/>
  <c r="C30" i="38" s="1"/>
  <c r="C40" i="112"/>
  <c r="F40" i="112" s="1"/>
  <c r="AQ15" i="99"/>
  <c r="F14" i="81" s="1"/>
  <c r="C41" i="37"/>
  <c r="C31" i="38" s="1"/>
  <c r="C41" i="112"/>
  <c r="F41" i="112" s="1"/>
  <c r="BD27" i="99"/>
  <c r="C39" i="37"/>
  <c r="C39" i="112"/>
  <c r="F39" i="112" s="1"/>
  <c r="C45" i="37"/>
  <c r="C45" i="112"/>
  <c r="F45" i="112" s="1"/>
  <c r="C46" i="37"/>
  <c r="F46" i="37" s="1"/>
  <c r="C46" i="112"/>
  <c r="F46" i="112" s="1"/>
  <c r="C37" i="112"/>
  <c r="F37" i="112" s="1"/>
  <c r="C37" i="37"/>
  <c r="F37" i="37" s="1"/>
  <c r="E38" i="112"/>
  <c r="G38" i="112" s="1"/>
  <c r="D38" i="112"/>
  <c r="U30" i="99"/>
  <c r="E16" i="81"/>
  <c r="V16" i="81" s="1"/>
  <c r="AD16" i="81" s="1"/>
  <c r="AH16" i="81" s="1"/>
  <c r="B38" i="37"/>
  <c r="AS30" i="99"/>
  <c r="F15" i="81"/>
  <c r="W15" i="81" s="1"/>
  <c r="AE15" i="81" s="1"/>
  <c r="F18" i="81"/>
  <c r="B48" i="112"/>
  <c r="B50" i="112"/>
  <c r="BD29" i="99"/>
  <c r="AP20" i="99"/>
  <c r="B41" i="112" s="1"/>
  <c r="BD20" i="99"/>
  <c r="BD16" i="99"/>
  <c r="AP16" i="99"/>
  <c r="B37" i="112" s="1"/>
  <c r="F23" i="81"/>
  <c r="AR30" i="99"/>
  <c r="F28" i="81"/>
  <c r="W28" i="81" s="1"/>
  <c r="AE28" i="81" s="1"/>
  <c r="AP19" i="99"/>
  <c r="B40" i="112" s="1"/>
  <c r="BD19" i="99"/>
  <c r="BD18" i="99"/>
  <c r="AP18" i="99"/>
  <c r="B39" i="112" s="1"/>
  <c r="E22" i="81"/>
  <c r="V22" i="81" s="1"/>
  <c r="AD22" i="81" s="1"/>
  <c r="F19" i="81"/>
  <c r="W19" i="81" s="1"/>
  <c r="AE19" i="81" s="1"/>
  <c r="F26" i="81"/>
  <c r="BD15" i="99"/>
  <c r="AP15" i="99"/>
  <c r="B36" i="112" s="1"/>
  <c r="F22" i="81"/>
  <c r="F17" i="81"/>
  <c r="B45" i="112"/>
  <c r="BD24" i="99"/>
  <c r="F24" i="81"/>
  <c r="W24" i="81" s="1"/>
  <c r="AE24" i="81" s="1"/>
  <c r="B46" i="112"/>
  <c r="BD25" i="99"/>
  <c r="D17" i="2"/>
  <c r="F50" i="37"/>
  <c r="N16" i="81"/>
  <c r="E17" i="2"/>
  <c r="F40" i="37"/>
  <c r="N17" i="81" l="1"/>
  <c r="W17" i="81"/>
  <c r="AE17" i="81" s="1"/>
  <c r="N22" i="81"/>
  <c r="W22" i="81"/>
  <c r="AE22" i="81" s="1"/>
  <c r="AH22" i="81" s="1"/>
  <c r="E27" i="2"/>
  <c r="W26" i="81"/>
  <c r="AE26" i="81" s="1"/>
  <c r="E24" i="2"/>
  <c r="K24" i="2" s="1"/>
  <c r="W23" i="81"/>
  <c r="AE23" i="81" s="1"/>
  <c r="C27" i="38"/>
  <c r="N18" i="81"/>
  <c r="W18" i="81"/>
  <c r="AE18" i="81" s="1"/>
  <c r="E19" i="2"/>
  <c r="E15" i="2"/>
  <c r="R15" i="2" s="1"/>
  <c r="W14" i="81"/>
  <c r="J17" i="2"/>
  <c r="Q17" i="2"/>
  <c r="K27" i="2"/>
  <c r="R27" i="2"/>
  <c r="K19" i="2"/>
  <c r="R19" i="2"/>
  <c r="E18" i="2"/>
  <c r="K17" i="2"/>
  <c r="N17" i="2" s="1"/>
  <c r="R17" i="2"/>
  <c r="R24" i="2"/>
  <c r="C36" i="38"/>
  <c r="N26" i="81"/>
  <c r="E46" i="112"/>
  <c r="G46" i="112" s="1"/>
  <c r="D46" i="112"/>
  <c r="E45" i="112"/>
  <c r="G45" i="112" s="1"/>
  <c r="D45" i="112"/>
  <c r="E39" i="112"/>
  <c r="G39" i="112" s="1"/>
  <c r="D39" i="112"/>
  <c r="BC30" i="99"/>
  <c r="E36" i="112"/>
  <c r="B51" i="112"/>
  <c r="E40" i="112"/>
  <c r="G40" i="112" s="1"/>
  <c r="D40" i="112"/>
  <c r="E37" i="112"/>
  <c r="G37" i="112" s="1"/>
  <c r="D37" i="112"/>
  <c r="E41" i="112"/>
  <c r="G41" i="112" s="1"/>
  <c r="D41" i="112"/>
  <c r="E50" i="112"/>
  <c r="G50" i="112" s="1"/>
  <c r="D50" i="112"/>
  <c r="E48" i="112"/>
  <c r="C48" i="37"/>
  <c r="C38" i="38" s="1"/>
  <c r="C48" i="112"/>
  <c r="F48" i="112" s="1"/>
  <c r="C36" i="37"/>
  <c r="C26" i="38" s="1"/>
  <c r="C36" i="112"/>
  <c r="N14" i="81"/>
  <c r="E17" i="81"/>
  <c r="V17" i="81" s="1"/>
  <c r="AD17" i="81" s="1"/>
  <c r="B39" i="37"/>
  <c r="D39" i="37" s="1"/>
  <c r="AQ30" i="99"/>
  <c r="E14" i="81"/>
  <c r="B36" i="37"/>
  <c r="E18" i="81"/>
  <c r="B40" i="37"/>
  <c r="E19" i="81"/>
  <c r="V19" i="81" s="1"/>
  <c r="AD19" i="81" s="1"/>
  <c r="AH19" i="81" s="1"/>
  <c r="B41" i="37"/>
  <c r="B31" i="38" s="1"/>
  <c r="D31" i="38" s="1"/>
  <c r="E26" i="81"/>
  <c r="B48" i="37"/>
  <c r="B38" i="38" s="1"/>
  <c r="B28" i="38"/>
  <c r="D28" i="38" s="1"/>
  <c r="E38" i="37"/>
  <c r="G38" i="37" s="1"/>
  <c r="D38" i="37"/>
  <c r="E23" i="2"/>
  <c r="E24" i="81"/>
  <c r="B46" i="37"/>
  <c r="E28" i="81"/>
  <c r="B50" i="37"/>
  <c r="E15" i="81"/>
  <c r="B37" i="37"/>
  <c r="E37" i="37" s="1"/>
  <c r="G37" i="37" s="1"/>
  <c r="E23" i="81"/>
  <c r="V23" i="81" s="1"/>
  <c r="AD23" i="81" s="1"/>
  <c r="AH23" i="81" s="1"/>
  <c r="B45" i="37"/>
  <c r="D45" i="37" s="1"/>
  <c r="E29" i="2"/>
  <c r="N28" i="81"/>
  <c r="E25" i="2"/>
  <c r="N24" i="81"/>
  <c r="N19" i="81"/>
  <c r="E20" i="2"/>
  <c r="AP30" i="99"/>
  <c r="C34" i="38"/>
  <c r="D34" i="38" s="1"/>
  <c r="F44" i="37"/>
  <c r="C29" i="38"/>
  <c r="F39" i="37"/>
  <c r="F48" i="37"/>
  <c r="D46" i="37"/>
  <c r="F41" i="37"/>
  <c r="N23" i="81"/>
  <c r="C35" i="38"/>
  <c r="F45" i="37"/>
  <c r="E16" i="2"/>
  <c r="N15" i="81"/>
  <c r="BD30" i="99"/>
  <c r="M16" i="81"/>
  <c r="Q16" i="81" s="1"/>
  <c r="D41" i="37"/>
  <c r="D23" i="2"/>
  <c r="M22" i="81"/>
  <c r="Q22" i="81" s="1"/>
  <c r="E44" i="37"/>
  <c r="D44" i="37"/>
  <c r="D29" i="2" l="1"/>
  <c r="V28" i="81"/>
  <c r="AD28" i="81" s="1"/>
  <c r="AH28" i="81" s="1"/>
  <c r="D25" i="2"/>
  <c r="V24" i="81"/>
  <c r="AD24" i="81" s="1"/>
  <c r="AH24" i="81" s="1"/>
  <c r="D27" i="2"/>
  <c r="Q27" i="2" s="1"/>
  <c r="V26" i="81"/>
  <c r="AD26" i="81" s="1"/>
  <c r="AH26" i="81" s="1"/>
  <c r="D15" i="2"/>
  <c r="V14" i="81"/>
  <c r="AH17" i="81"/>
  <c r="K15" i="2"/>
  <c r="AE14" i="81"/>
  <c r="W29" i="81"/>
  <c r="M18" i="81"/>
  <c r="Q18" i="81" s="1"/>
  <c r="V18" i="81"/>
  <c r="AD18" i="81" s="1"/>
  <c r="AH18" i="81" s="1"/>
  <c r="D16" i="2"/>
  <c r="V15" i="81"/>
  <c r="AD15" i="81" s="1"/>
  <c r="AH15" i="81" s="1"/>
  <c r="J23" i="2"/>
  <c r="N23" i="2" s="1"/>
  <c r="R22" i="81" s="1"/>
  <c r="Q23" i="2"/>
  <c r="K25" i="2"/>
  <c r="R25" i="2"/>
  <c r="K29" i="2"/>
  <c r="R29" i="2"/>
  <c r="J16" i="2"/>
  <c r="Q16" i="2"/>
  <c r="J29" i="2"/>
  <c r="Q29" i="2"/>
  <c r="J25" i="2"/>
  <c r="Q25" i="2"/>
  <c r="J27" i="2"/>
  <c r="N27" i="2" s="1"/>
  <c r="R26" i="81" s="1"/>
  <c r="J15" i="2"/>
  <c r="N15" i="2" s="1"/>
  <c r="R14" i="81" s="1"/>
  <c r="Q15" i="2"/>
  <c r="K16" i="2"/>
  <c r="R16" i="2"/>
  <c r="K20" i="2"/>
  <c r="R20" i="2"/>
  <c r="K23" i="2"/>
  <c r="R23" i="2"/>
  <c r="K18" i="2"/>
  <c r="R18" i="2"/>
  <c r="R16" i="81"/>
  <c r="D36" i="37"/>
  <c r="M15" i="81"/>
  <c r="M28" i="81"/>
  <c r="Q28" i="81" s="1"/>
  <c r="M26" i="81"/>
  <c r="Q26" i="81" s="1"/>
  <c r="M24" i="81"/>
  <c r="F36" i="37"/>
  <c r="G48" i="112"/>
  <c r="F36" i="112"/>
  <c r="F51" i="112" s="1"/>
  <c r="C51" i="112"/>
  <c r="D48" i="112"/>
  <c r="E51" i="112"/>
  <c r="D36" i="112"/>
  <c r="M14" i="81"/>
  <c r="Q14" i="81" s="1"/>
  <c r="D19" i="2"/>
  <c r="N16" i="2"/>
  <c r="R15" i="81" s="1"/>
  <c r="N29" i="2"/>
  <c r="R28" i="81" s="1"/>
  <c r="D48" i="37"/>
  <c r="D38" i="38"/>
  <c r="G44" i="37"/>
  <c r="E48" i="37"/>
  <c r="G48" i="37" s="1"/>
  <c r="E41" i="37"/>
  <c r="G41" i="37" s="1"/>
  <c r="B30" i="38"/>
  <c r="D30" i="38" s="1"/>
  <c r="D40" i="37"/>
  <c r="E40" i="37"/>
  <c r="G40" i="37" s="1"/>
  <c r="B26" i="38"/>
  <c r="E36" i="37"/>
  <c r="G36" i="37" s="1"/>
  <c r="B29" i="38"/>
  <c r="D29" i="38" s="1"/>
  <c r="E39" i="37"/>
  <c r="G39" i="37" s="1"/>
  <c r="D26" i="38"/>
  <c r="M19" i="81"/>
  <c r="Q19" i="81" s="1"/>
  <c r="D20" i="2"/>
  <c r="M17" i="81"/>
  <c r="Q17" i="81" s="1"/>
  <c r="D18" i="2"/>
  <c r="B36" i="38"/>
  <c r="D36" i="38" s="1"/>
  <c r="E46" i="37"/>
  <c r="G46" i="37" s="1"/>
  <c r="B40" i="38"/>
  <c r="D40" i="38" s="1"/>
  <c r="D50" i="37"/>
  <c r="E50" i="37"/>
  <c r="G50" i="37" s="1"/>
  <c r="B27" i="38"/>
  <c r="D27" i="38" s="1"/>
  <c r="D37" i="37"/>
  <c r="B35" i="38"/>
  <c r="D35" i="38" s="1"/>
  <c r="B51" i="37"/>
  <c r="E45" i="37"/>
  <c r="G45" i="37" s="1"/>
  <c r="M23" i="81"/>
  <c r="Q23" i="81" s="1"/>
  <c r="D24" i="2"/>
  <c r="N25" i="2"/>
  <c r="R24" i="81" s="1"/>
  <c r="C41" i="38"/>
  <c r="C51" i="37"/>
  <c r="Q15" i="81"/>
  <c r="Q24" i="81"/>
  <c r="E29" i="81"/>
  <c r="F29" i="81"/>
  <c r="AE29" i="81" l="1"/>
  <c r="AD14" i="81"/>
  <c r="AD29" i="81" s="1"/>
  <c r="V29" i="81"/>
  <c r="J24" i="2"/>
  <c r="N24" i="2" s="1"/>
  <c r="R23" i="81" s="1"/>
  <c r="Q24" i="2"/>
  <c r="J18" i="2"/>
  <c r="N18" i="2" s="1"/>
  <c r="R17" i="81" s="1"/>
  <c r="Q18" i="2"/>
  <c r="J20" i="2"/>
  <c r="N20" i="2" s="1"/>
  <c r="R19" i="81" s="1"/>
  <c r="S19" i="81" s="1"/>
  <c r="U20" i="2" s="1"/>
  <c r="AI19" i="81" s="1"/>
  <c r="AJ19" i="81" s="1"/>
  <c r="Q20" i="2"/>
  <c r="J19" i="2"/>
  <c r="N19" i="2" s="1"/>
  <c r="R18" i="81" s="1"/>
  <c r="Q19" i="2"/>
  <c r="Q30" i="2" s="1"/>
  <c r="S26" i="81"/>
  <c r="U27" i="2" s="1"/>
  <c r="AI26" i="81" s="1"/>
  <c r="AJ26" i="81" s="1"/>
  <c r="S24" i="81"/>
  <c r="U25" i="2"/>
  <c r="AI24" i="81" s="1"/>
  <c r="AJ24" i="81" s="1"/>
  <c r="S14" i="81"/>
  <c r="S23" i="81"/>
  <c r="U24" i="2" s="1"/>
  <c r="AI23" i="81" s="1"/>
  <c r="AJ23" i="81" s="1"/>
  <c r="S22" i="81"/>
  <c r="U23" i="2" s="1"/>
  <c r="AI22" i="81" s="1"/>
  <c r="AJ22" i="81" s="1"/>
  <c r="S28" i="81"/>
  <c r="U29" i="2" s="1"/>
  <c r="AI28" i="81" s="1"/>
  <c r="AJ28" i="81" s="1"/>
  <c r="S15" i="81"/>
  <c r="U16" i="2" s="1"/>
  <c r="AI15" i="81" s="1"/>
  <c r="AJ15" i="81" s="1"/>
  <c r="S17" i="81"/>
  <c r="U18" i="2" s="1"/>
  <c r="AI17" i="81" s="1"/>
  <c r="AJ17" i="81" s="1"/>
  <c r="S18" i="81"/>
  <c r="U19" i="2" s="1"/>
  <c r="AI18" i="81" s="1"/>
  <c r="AJ18" i="81" s="1"/>
  <c r="S16" i="81"/>
  <c r="U17" i="2" s="1"/>
  <c r="AI16" i="81" s="1"/>
  <c r="AJ16" i="81" s="1"/>
  <c r="Q29" i="81"/>
  <c r="N30" i="2"/>
  <c r="Z30" i="2" s="1"/>
  <c r="D51" i="112"/>
  <c r="G36" i="112"/>
  <c r="G51" i="112" s="1"/>
  <c r="B41" i="38"/>
  <c r="E51" i="37"/>
  <c r="D51" i="37"/>
  <c r="M29" i="81"/>
  <c r="D41" i="38"/>
  <c r="G51" i="37"/>
  <c r="J30" i="2"/>
  <c r="D30" i="2"/>
  <c r="N29" i="81"/>
  <c r="E30" i="2"/>
  <c r="F51" i="37"/>
  <c r="AH14" i="81" l="1"/>
  <c r="AH29" i="81" s="1"/>
  <c r="S29" i="81"/>
  <c r="P30" i="2"/>
  <c r="R30" i="2"/>
  <c r="U15" i="2"/>
  <c r="U30" i="2" s="1"/>
  <c r="K30" i="2"/>
  <c r="AI14" i="81" l="1"/>
  <c r="AJ14" i="81" l="1"/>
  <c r="AJ29" i="81" s="1"/>
  <c r="S31" i="81" s="1"/>
  <c r="AI29" i="81"/>
</calcChain>
</file>

<file path=xl/comments1.xml><?xml version="1.0" encoding="utf-8"?>
<comments xmlns="http://schemas.openxmlformats.org/spreadsheetml/2006/main">
  <authors>
    <author>Автор</author>
  </authors>
  <commentList>
    <comment ref="P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из них 2 ребенка норма
1 овз</t>
        </r>
      </text>
    </comment>
    <comment ref="R1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1 ребенок норма
2 овз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на 2022 г планир 141 руб.</t>
        </r>
      </text>
    </comment>
  </commentList>
</comments>
</file>

<file path=xl/sharedStrings.xml><?xml version="1.0" encoding="utf-8"?>
<sst xmlns="http://schemas.openxmlformats.org/spreadsheetml/2006/main" count="1860" uniqueCount="755">
  <si>
    <t>№ п/п</t>
  </si>
  <si>
    <t>Итого</t>
  </si>
  <si>
    <t>Тариф</t>
  </si>
  <si>
    <t>Основной телефон</t>
  </si>
  <si>
    <t>Повременная оплата</t>
  </si>
  <si>
    <t>Детализация  и доставка счета за расчетный период ГТС</t>
  </si>
  <si>
    <t>Сумма в год, руб.</t>
  </si>
  <si>
    <t>Кол-во, мин/мес.</t>
  </si>
  <si>
    <t>ДОУ №13</t>
  </si>
  <si>
    <t>Всего</t>
  </si>
  <si>
    <t>Коммунальные услуги, в том числе:</t>
  </si>
  <si>
    <t>Прочие расходы, в том числе:</t>
  </si>
  <si>
    <t>Водопотребление в год, руб.</t>
  </si>
  <si>
    <t>Водоотведение в год, руб.</t>
  </si>
  <si>
    <t>Вывоз ЖБО в год, руб.</t>
  </si>
  <si>
    <t>Дератизация, дезинсекция в год, руб.</t>
  </si>
  <si>
    <t>Обслуживание КТС в год, руб.</t>
  </si>
  <si>
    <t>Техобслуживание газопровода в год, руб.</t>
  </si>
  <si>
    <t>Лабораторные исследования в год,руб.</t>
  </si>
  <si>
    <t>Зарядка огнетушителя в год, руб.</t>
  </si>
  <si>
    <t>Подписка печатной продукции в год, руб.</t>
  </si>
  <si>
    <t>Объем, Гкал</t>
  </si>
  <si>
    <t>индексы-дефляторы</t>
  </si>
  <si>
    <t>Объем, кВт/ч</t>
  </si>
  <si>
    <t>Объем, м3</t>
  </si>
  <si>
    <t>Сумма в год</t>
  </si>
  <si>
    <t>Ед.изм</t>
  </si>
  <si>
    <t>Дератизация</t>
  </si>
  <si>
    <t>Дезинсекция</t>
  </si>
  <si>
    <t>Оформление сантехпаспорта</t>
  </si>
  <si>
    <t>Всего расходов</t>
  </si>
  <si>
    <t xml:space="preserve">Тариф </t>
  </si>
  <si>
    <t xml:space="preserve">Сумма </t>
  </si>
  <si>
    <t>Сумма</t>
  </si>
  <si>
    <t>м2</t>
  </si>
  <si>
    <t>(Правила противопожарного режима в РФ от 25 апреля 2012г. № 390)</t>
  </si>
  <si>
    <t>Площадь, помещений, м2</t>
  </si>
  <si>
    <t>Норма оснащения порошковыми огнетушителями</t>
  </si>
  <si>
    <t>Срок использования</t>
  </si>
  <si>
    <t>Кол - во в год</t>
  </si>
  <si>
    <t>Цена, руб.</t>
  </si>
  <si>
    <t>Расчет нормы на зарядку огнетушителей в год</t>
  </si>
  <si>
    <t>К-во , шт</t>
  </si>
  <si>
    <t>площадь, м2</t>
  </si>
  <si>
    <t>Срок использования, лет</t>
  </si>
  <si>
    <t>Количество месяцев</t>
  </si>
  <si>
    <t>Абонентская плата</t>
  </si>
  <si>
    <t>к-во м-ц</t>
  </si>
  <si>
    <t>сумма</t>
  </si>
  <si>
    <t>Кол-во месяцев</t>
  </si>
  <si>
    <t>Техническое обслуживание котельной</t>
  </si>
  <si>
    <t>Инструктаж</t>
  </si>
  <si>
    <t>Всего в год</t>
  </si>
  <si>
    <t>Объем работ</t>
  </si>
  <si>
    <t>Цена</t>
  </si>
  <si>
    <t>Налоговая ставка</t>
  </si>
  <si>
    <t>Сумма налога в год</t>
  </si>
  <si>
    <t>Площадь земельного участка</t>
  </si>
  <si>
    <t>Кадастровая стоимость участка</t>
  </si>
  <si>
    <t>Кадастровый номер земельного участка</t>
  </si>
  <si>
    <t>59:08:08 01 007:0016</t>
  </si>
  <si>
    <t>59:08:31 01 006:0003</t>
  </si>
  <si>
    <t>59:08:25 01 010:0006</t>
  </si>
  <si>
    <t>59:08:01 01 003:0007</t>
  </si>
  <si>
    <t>59:08:01 01 005:0005</t>
  </si>
  <si>
    <t>59:08:06 01 008:0010</t>
  </si>
  <si>
    <t>59:08:01 01 003:0010</t>
  </si>
  <si>
    <t>59:08:11 01 004:0001</t>
  </si>
  <si>
    <t>Сумма финансового обеспечения выполнения муниципального задания</t>
  </si>
  <si>
    <t>Стоимость в год, руб.</t>
  </si>
  <si>
    <t>Стоимость в год,руб.</t>
  </si>
  <si>
    <t>Наименование</t>
  </si>
  <si>
    <t>Ед. изм</t>
  </si>
  <si>
    <t>шт</t>
  </si>
  <si>
    <t>пач.</t>
  </si>
  <si>
    <t>Денежная норма на учреждение в год, руб.</t>
  </si>
  <si>
    <t>Ручка</t>
  </si>
  <si>
    <t>Карандаш</t>
  </si>
  <si>
    <t>Папка-скоросшиватель</t>
  </si>
  <si>
    <t>Краска для заправки картриджа</t>
  </si>
  <si>
    <t>Итого на учреждение</t>
  </si>
  <si>
    <t>Цена , руб.</t>
  </si>
  <si>
    <t>Бумага для ксерокса</t>
  </si>
  <si>
    <t>Корректор карандаш</t>
  </si>
  <si>
    <t>Карман к папке файл А4 (файлы)</t>
  </si>
  <si>
    <t>Скобы к степлеру</t>
  </si>
  <si>
    <t>кор</t>
  </si>
  <si>
    <t>Папка уголок</t>
  </si>
  <si>
    <t>Бумага писчая</t>
  </si>
  <si>
    <t>пач</t>
  </si>
  <si>
    <t>Ластик</t>
  </si>
  <si>
    <t>Скрепки канцелярские</t>
  </si>
  <si>
    <t>Скотч</t>
  </si>
  <si>
    <t xml:space="preserve">Тетрадь общая </t>
  </si>
  <si>
    <t>Папка на 2-х кольцах</t>
  </si>
  <si>
    <t>Папка - вкладыш (файлы)</t>
  </si>
  <si>
    <t>Наименование издания</t>
  </si>
  <si>
    <t>Итого на год на учр-ие руб.</t>
  </si>
  <si>
    <t xml:space="preserve"> хозяйственними товарами</t>
  </si>
  <si>
    <t>Ед. измерения</t>
  </si>
  <si>
    <t>Щетки для пола капр.</t>
  </si>
  <si>
    <t>Веники</t>
  </si>
  <si>
    <t>Метла</t>
  </si>
  <si>
    <t>Лампы энергосберегающие</t>
  </si>
  <si>
    <t>Ткань для пола (ветошь)</t>
  </si>
  <si>
    <t>пог.м</t>
  </si>
  <si>
    <t>кг</t>
  </si>
  <si>
    <t>Итого на  группу на год</t>
  </si>
  <si>
    <t>Мыло хозяйственное (200гр)</t>
  </si>
  <si>
    <t>Мыло туалетное (90гр)</t>
  </si>
  <si>
    <t>ЧС Суржа (450гр)</t>
  </si>
  <si>
    <t>Сода кальц (600гр)</t>
  </si>
  <si>
    <t>Сода пищевая</t>
  </si>
  <si>
    <t>Порошок (450гр)</t>
  </si>
  <si>
    <t>Хлорная известь</t>
  </si>
  <si>
    <t>Итого на 1 группу на год</t>
  </si>
  <si>
    <t>Дополнительно для прачечной</t>
  </si>
  <si>
    <t>Ед. изм.</t>
  </si>
  <si>
    <t>Комплект постельного белья</t>
  </si>
  <si>
    <t>Полотенце махровое</t>
  </si>
  <si>
    <t>Одеяло байковое</t>
  </si>
  <si>
    <t>Матрац</t>
  </si>
  <si>
    <t>Подушка</t>
  </si>
  <si>
    <t>Картофель</t>
  </si>
  <si>
    <t>Кондитерские изделия</t>
  </si>
  <si>
    <t>Какао-порошок</t>
  </si>
  <si>
    <t>Дрожжи хлебопекарные</t>
  </si>
  <si>
    <t>Сахар</t>
  </si>
  <si>
    <t>Сумма в год,руб.</t>
  </si>
  <si>
    <t>Аутсорсинг (услуги по обслуживанию здания)</t>
  </si>
  <si>
    <t>Аутсорсинг</t>
  </si>
  <si>
    <t>АПС</t>
  </si>
  <si>
    <t>Наименование организации</t>
  </si>
  <si>
    <t>Обслуживание, руб.</t>
  </si>
  <si>
    <t>Итого, руб.</t>
  </si>
  <si>
    <t>Цена за 1-ый котел</t>
  </si>
  <si>
    <t>Цена за 2-ой котел</t>
  </si>
  <si>
    <t>Стоимость 1 кв.м. без ндс</t>
  </si>
  <si>
    <t>Стоимость в месяц, руб.</t>
  </si>
  <si>
    <t>Районный коэффициент</t>
  </si>
  <si>
    <t>Начисления на оплату труда</t>
  </si>
  <si>
    <t>льготники</t>
  </si>
  <si>
    <t>рабочие дни</t>
  </si>
  <si>
    <t>посещаемость</t>
  </si>
  <si>
    <t>Количество рабочих дней в году</t>
  </si>
  <si>
    <t>Количество групп</t>
  </si>
  <si>
    <r>
      <t>Площадь групповых, м</t>
    </r>
    <r>
      <rPr>
        <vertAlign val="superscript"/>
        <sz val="10"/>
        <rFont val="Times New Roman"/>
        <family val="1"/>
        <charset val="204"/>
      </rPr>
      <t>2</t>
    </r>
  </si>
  <si>
    <t>Ясли</t>
  </si>
  <si>
    <t>Сад</t>
  </si>
  <si>
    <t>Компенсирующей направленности</t>
  </si>
  <si>
    <t>Возмещение коммунальных расходов</t>
  </si>
  <si>
    <t>Советник в сфере образования</t>
  </si>
  <si>
    <t>Водоотведение</t>
  </si>
  <si>
    <t>ЖБО</t>
  </si>
  <si>
    <t>Электроэнергия</t>
  </si>
  <si>
    <t>Теплоэнергия</t>
  </si>
  <si>
    <t>Газ</t>
  </si>
  <si>
    <t>Водопотребление</t>
  </si>
  <si>
    <t xml:space="preserve">Выгреб </t>
  </si>
  <si>
    <t>Среднее значение</t>
  </si>
  <si>
    <t>Наличие приборов учета</t>
  </si>
  <si>
    <t>Объём отапливаемых помещений</t>
  </si>
  <si>
    <t>Среднесписочная численность детей, занимающихся в отапливаемом помещении</t>
  </si>
  <si>
    <t>кВт/ч</t>
  </si>
  <si>
    <t>Гкал</t>
  </si>
  <si>
    <t>ед.</t>
  </si>
  <si>
    <t>куб. м.</t>
  </si>
  <si>
    <t>чел.</t>
  </si>
  <si>
    <t>Обрабатываемая площадь, м2</t>
  </si>
  <si>
    <t>Обслуживание грузового лифта</t>
  </si>
  <si>
    <t>Услуги связи в год, руб.</t>
  </si>
  <si>
    <t xml:space="preserve">Наименование </t>
  </si>
  <si>
    <t>Кол-во на 1 человека</t>
  </si>
  <si>
    <t>Выгреб в год, руб.</t>
  </si>
  <si>
    <t>Обслуживание программы аппаратного комплекса "Стрелец- мониторинг"</t>
  </si>
  <si>
    <t>Стоимость на одного обучающегося в год</t>
  </si>
  <si>
    <t>Норма на 1 обучающегося, руб.</t>
  </si>
  <si>
    <t>Норма на 1 обучающегося в год, руб.</t>
  </si>
  <si>
    <t>Итого на 1 организацию</t>
  </si>
  <si>
    <t>к-во огнетуш. на учр-ие</t>
  </si>
  <si>
    <t>Наименование муниципальной услуги</t>
  </si>
  <si>
    <t>Затраты на уплату налогов</t>
  </si>
  <si>
    <t>Итого по садам:</t>
  </si>
  <si>
    <t xml:space="preserve"> Итого по садам:</t>
  </si>
  <si>
    <t>Объем доходов от платной деятельности</t>
  </si>
  <si>
    <t>к-во, шт</t>
  </si>
  <si>
    <t>Норма  обеспеченности на 1 обучающегося мягким инвентарем</t>
  </si>
  <si>
    <t>Наименование учреждения</t>
  </si>
  <si>
    <t>Всего сумма в год по услугам связи, руб.</t>
  </si>
  <si>
    <t>Коэффициент на переезды и переходы</t>
  </si>
  <si>
    <t>Подписка на месяц, руб.</t>
  </si>
  <si>
    <t>Присмотр и уход Физические лица за исключением льготных категорий От 1 года до 3 лет Группа полного дня</t>
  </si>
  <si>
    <t>Присмотр и уход Физические лица за исключением льготных категорий От 3 лет до 8 лет Группа полного дня</t>
  </si>
  <si>
    <t>Присмотр и уход Дети-сироты и дети, оставшиеся без попечения родителей От 3 лет до 8 лет Группа полного дня</t>
  </si>
  <si>
    <t>Коммунальные услуги</t>
  </si>
  <si>
    <t>Содержание объектов недвижимого имущества, эксплуатируемого в процессе оказания государственной (муниципальной) услуги</t>
  </si>
  <si>
    <t>Содержание объектов особо ценного движимого имущества, эксплуатируемого в процессе оказания государственной (муниципальной) услуги</t>
  </si>
  <si>
    <t>Услуги связи</t>
  </si>
  <si>
    <t>Транспортные услуги</t>
  </si>
  <si>
    <t>Оплата труда административно-управленческого, административно-хозяйственного, вспомогательного и иного персонала</t>
  </si>
  <si>
    <t>Базовый норматив затрат на общехозяйственные нужды</t>
  </si>
  <si>
    <t>Электрическая энергия</t>
  </si>
  <si>
    <t>Тепловая энергия</t>
  </si>
  <si>
    <t>Водоснабжение</t>
  </si>
  <si>
    <t>Техническое обслуживание автоматической противопожарной системы</t>
  </si>
  <si>
    <t>Услуги по дератизации и дезинсекции</t>
  </si>
  <si>
    <t>Услуги по проведению лабораторных исследований</t>
  </si>
  <si>
    <t xml:space="preserve">Техническое обслуживание здания </t>
  </si>
  <si>
    <t>ВСЕГО</t>
  </si>
  <si>
    <t>Зарядка огнетушителей</t>
  </si>
  <si>
    <t>Прочие затраты на общехозяйственные нужды</t>
  </si>
  <si>
    <t>Приобретение канцелярских товаров для административно-управленческого персонала и бухгалтерской службы и заправка оргтехники</t>
  </si>
  <si>
    <t>Подписка периодических изданий (для АУП и бухгалтерской службы МОО)</t>
  </si>
  <si>
    <t>Приобретение хозяйственных товаров</t>
  </si>
  <si>
    <t>Обслуживание теплового счетчика</t>
  </si>
  <si>
    <t>Базовый норматив затрат</t>
  </si>
  <si>
    <t>на оказание i-ой муниципальной услуги и затрат на общехозяйственные нужды, руб. за ед.</t>
  </si>
  <si>
    <t>Уникальный номер реестровой записи</t>
  </si>
  <si>
    <t>Базовый норматив затрат, непосредственно связанный с оказанием i-ой муниципальной услуги</t>
  </si>
  <si>
    <t>Базовый норматив затрат на оказание муниципальной услуги, руб.</t>
  </si>
  <si>
    <t>ОТ-1</t>
  </si>
  <si>
    <t>МЗ</t>
  </si>
  <si>
    <t>ИНЗ</t>
  </si>
  <si>
    <t>КУ</t>
  </si>
  <si>
    <t>СНИ</t>
  </si>
  <si>
    <t>СОЦДИ</t>
  </si>
  <si>
    <t>УС</t>
  </si>
  <si>
    <t>ТУ</t>
  </si>
  <si>
    <t>ОТ-2</t>
  </si>
  <si>
    <t>ПНЗ</t>
  </si>
  <si>
    <t>13=3+4+5+6+7+8+9+10+11+12</t>
  </si>
  <si>
    <t xml:space="preserve">Реализация основных общеобразовательных программ дошкольного образования </t>
  </si>
  <si>
    <t>Численность обучающихся</t>
  </si>
  <si>
    <t>Затраты на оказание i–ой  муниципальной услуги, рассчитанные по j-ой МОО</t>
  </si>
  <si>
    <t>Базовый норматив</t>
  </si>
  <si>
    <t>Хозрасходы</t>
  </si>
  <si>
    <t xml:space="preserve">Наматрасник </t>
  </si>
  <si>
    <t>Коэффициент выравнивания</t>
  </si>
  <si>
    <t>Площадь на одного ребенка</t>
  </si>
  <si>
    <t>Площадь на одного ребенка в зависимости от возраста обучающегося</t>
  </si>
  <si>
    <t xml:space="preserve">Базовый норматив </t>
  </si>
  <si>
    <t>59:08:19 01 013:0014</t>
  </si>
  <si>
    <t>Базовый норматив затрат на оказание i-ой муниципальной услуги</t>
  </si>
  <si>
    <t>Наименование муниципальной услуги/ наименование муниципальной организации</t>
  </si>
  <si>
    <t>Базовый норматив затрат на общехозяйственные нужды, руб.</t>
  </si>
  <si>
    <t>Отраслевой корректирующий коэффициент</t>
  </si>
  <si>
    <t>Объем оказываемой услуги</t>
  </si>
  <si>
    <t>Итого на очередной финансовый год</t>
  </si>
  <si>
    <t>Итого на первый год планового периода</t>
  </si>
  <si>
    <t>Итого на второй год планового периода</t>
  </si>
  <si>
    <t xml:space="preserve">Исполнитель: </t>
  </si>
  <si>
    <t>Коэффициент отраслевой</t>
  </si>
  <si>
    <t>Содержание особо ценного движимого имущества</t>
  </si>
  <si>
    <t>Содержание недвижимого имущества, в том числе:</t>
  </si>
  <si>
    <t>Абонентская плата КТС в год, руб.</t>
  </si>
  <si>
    <t xml:space="preserve">Нормативная численность обучающихся </t>
  </si>
  <si>
    <t>Присмотр и уход Физические лица льготных категорий, определяемых учредителем От 3 года до 8 лет Группа полного дня</t>
  </si>
  <si>
    <t>МАДОУ ЦРР-детский сад № 2</t>
  </si>
  <si>
    <t>МАДОУ ЦРР-детский сад № 11</t>
  </si>
  <si>
    <t>МАДОУ ЦРР-детский сад № 13</t>
  </si>
  <si>
    <t>Присмотр и уход</t>
  </si>
  <si>
    <t>от 1 года до 3 лет</t>
  </si>
  <si>
    <t>от 3 лет до 8 лет</t>
  </si>
  <si>
    <t>Количество обработок по дератизации</t>
  </si>
  <si>
    <t>Количество обработок по дезинсекции</t>
  </si>
  <si>
    <t>Интернет "Прогресс-6" Сатурн</t>
  </si>
  <si>
    <t>Площадь здания</t>
  </si>
  <si>
    <t>59:08:08 01 007:0002</t>
  </si>
  <si>
    <t>59:08:02 01 009:0040</t>
  </si>
  <si>
    <t>59:08:02 01 009:26</t>
  </si>
  <si>
    <t>59:08:25 01 012:0009</t>
  </si>
  <si>
    <t>59:08:25 01 009:0003</t>
  </si>
  <si>
    <t>59:08:01 01 008:0003</t>
  </si>
  <si>
    <t>59:08:22 01 005:0037</t>
  </si>
  <si>
    <t>59:08:06 01 005:0009</t>
  </si>
  <si>
    <t>59:08:29 01 008:0038</t>
  </si>
  <si>
    <t>59:08:2701045:79</t>
  </si>
  <si>
    <t>Учреждения</t>
  </si>
  <si>
    <t>От 1 года до 3 лет</t>
  </si>
  <si>
    <t>От 3 лет до 8 лет</t>
  </si>
  <si>
    <t>Норматив площади по СанПин</t>
  </si>
  <si>
    <t>Рыба (филе), в т.ч. филе слабо- или малосоленое</t>
  </si>
  <si>
    <t>Макаронные изделия</t>
  </si>
  <si>
    <t>Масло растительное</t>
  </si>
  <si>
    <t>Кофейный напиток</t>
  </si>
  <si>
    <t>Итого  на 1 ребенка в день</t>
  </si>
  <si>
    <t>Всего на 1 реб. в год</t>
  </si>
  <si>
    <t>Наименование продуктов</t>
  </si>
  <si>
    <t xml:space="preserve">в группах полного дня, руб. </t>
  </si>
  <si>
    <t>Цена (кг), руб.</t>
  </si>
  <si>
    <t>Норма, гр., мл., брутто</t>
  </si>
  <si>
    <t>Сумма, руб.</t>
  </si>
  <si>
    <t>х</t>
  </si>
  <si>
    <t>За исключением льготной категории</t>
  </si>
  <si>
    <t>Имеющих льготу по РП 50%</t>
  </si>
  <si>
    <t>Имеющих льготу по РП 100%</t>
  </si>
  <si>
    <t xml:space="preserve">Сумма родительской платы в год </t>
  </si>
  <si>
    <t>Налоги, в том числе:</t>
  </si>
  <si>
    <t>Земельный налог</t>
  </si>
  <si>
    <t>Налог на имущество</t>
  </si>
  <si>
    <t>Присмотр и уход Дети с туберкулезной интоксикацией От 3 лет до 8 лет группа полного дня</t>
  </si>
  <si>
    <t>Реализация основных общеобразовательных программ дошкольного образования От 1 года до 3 лет Очная группа полного дня</t>
  </si>
  <si>
    <t>Реализация основных общеобразовательных программ дошкольного образования От 3 лет до 8 лет Очная группа полного дня</t>
  </si>
  <si>
    <t>Реализация основных общеобразовательных программ дошкольного образования Обучающиеся с ограниченными возможностями здоровья (ОВЗ) От 3 лет до 8 лет Очная группа полного дня</t>
  </si>
  <si>
    <t>Реализация основных общеобразовательных программ дошкольного образования Адаптированная образовательная программа Обучающиеся с ограниченными возможностями здоровья (ОВЗ) От 3 лет до 8 лет Очная группа полного дня</t>
  </si>
  <si>
    <t>Присмотр и уход Дети-сироты и дети, оставшиеся без попечения родителей От 1 года до 3 лет группа полного дня</t>
  </si>
  <si>
    <t>Присмотр и уход Физические лица за исключением льготных категорий От 1 года до 3 лет группа полного дня</t>
  </si>
  <si>
    <t>Присмотр и уход Физические лица льготных категорий, определяемых учредителем От 3 лет до 8 лет группа полного дня</t>
  </si>
  <si>
    <t>Присмотр и уход Дети-сироты и дети, оставшиеся без попечения родителей От 3 лет до 8 лет группа полного дня</t>
  </si>
  <si>
    <t>Присмотр и уход Дети-инвалиды От 3 лет до 8 лет группа полного дня</t>
  </si>
  <si>
    <t>Присмотр и уход Физические лица за исключением льготных категорий От 3 лет до 8 лет группа полного дня</t>
  </si>
  <si>
    <t>От 3 лет до 8 лет компенсирующей направленности</t>
  </si>
  <si>
    <t>от 3 лет до 8 лет компенсирующей направленности</t>
  </si>
  <si>
    <t>Коэффициент платной деятельности</t>
  </si>
  <si>
    <t>Порошок 6кг</t>
  </si>
  <si>
    <t xml:space="preserve">Расчет коэффициентов </t>
  </si>
  <si>
    <t>Кол-во на 1 группу в год</t>
  </si>
  <si>
    <t>Норма  обеспеченности на 1 обучающегося (от 1 года до 3 лет)</t>
  </si>
  <si>
    <t>Норма  обеспеченности на 1 обучающегося (от 3 лет до 8 лет)</t>
  </si>
  <si>
    <t>Базовый норматив от 1 года до 3 лет</t>
  </si>
  <si>
    <t>Базовый норматив от 3 лет до 8 лет</t>
  </si>
  <si>
    <t>Численность</t>
  </si>
  <si>
    <t>Натуральная норма на 1 ребенка в год</t>
  </si>
  <si>
    <t>Тариф за обслуживание, руб.</t>
  </si>
  <si>
    <t>Стоимость работ</t>
  </si>
  <si>
    <t>Стоимость 1 кв.м. в год без ФОТ</t>
  </si>
  <si>
    <t>Количество</t>
  </si>
  <si>
    <r>
      <t>Площадь, м</t>
    </r>
    <r>
      <rPr>
        <vertAlign val="superscript"/>
        <sz val="10"/>
        <rFont val="Times New Roman"/>
        <family val="1"/>
        <charset val="204"/>
      </rPr>
      <t>2</t>
    </r>
  </si>
  <si>
    <t>Количество объектов, ед</t>
  </si>
  <si>
    <t>Количество систем, ед</t>
  </si>
  <si>
    <t>Количество точек, ед</t>
  </si>
  <si>
    <t>Количество зданий, ед</t>
  </si>
  <si>
    <t>Количество, ед</t>
  </si>
  <si>
    <t>Количество, шт</t>
  </si>
  <si>
    <t>Количество в год, шт</t>
  </si>
  <si>
    <t>Возмещение коммунальных расходов, м3</t>
  </si>
  <si>
    <t>Присмотр и уход Дети-сироты и дети, оставшиеся без попечения родителей От 1 года до 3 лет Группа полного дня</t>
  </si>
  <si>
    <t>Акарицидная обработка</t>
  </si>
  <si>
    <t>Расходы на 2021 год</t>
  </si>
  <si>
    <t>Техническое обслуживание бытового газового счетчика</t>
  </si>
  <si>
    <t>Начисление налога за год по ставке 2.2%</t>
  </si>
  <si>
    <t>Структурное подразделение МАОУ ООШ № 17 с кадетскими классами</t>
  </si>
  <si>
    <t>Количество зданий</t>
  </si>
  <si>
    <t>801011О.99.0.БВ24ДМ62000</t>
  </si>
  <si>
    <t>801011О.99.0.БВ24ДН82000</t>
  </si>
  <si>
    <t>801011О.99.0.БВ24ВЭ62000</t>
  </si>
  <si>
    <t>801011О.99.0.БВ24АВ42000</t>
  </si>
  <si>
    <t>853211О.99.0.БВ19АА50000</t>
  </si>
  <si>
    <t>853211О.99.0.БВ19АА56000</t>
  </si>
  <si>
    <t>853211О.99.0.БВ19АА92000</t>
  </si>
  <si>
    <t>853211О.99.0.БВ19АА98000</t>
  </si>
  <si>
    <t>853211О.99.0.БВ19АА14000</t>
  </si>
  <si>
    <t>853211О.99.0.БВ19АБ40000</t>
  </si>
  <si>
    <t xml:space="preserve">Теплоэнергия в год, руб. </t>
  </si>
  <si>
    <t xml:space="preserve">Газ в год, руб. </t>
  </si>
  <si>
    <t>Электроэнергия в год, руб.</t>
  </si>
  <si>
    <t>853212О.99.0.БВ23АГ08000</t>
  </si>
  <si>
    <t>Обслуживание КТС</t>
  </si>
  <si>
    <t>Абонентская плата КТС</t>
  </si>
  <si>
    <t>Базовый норматив 2021 год</t>
  </si>
  <si>
    <t>Базовый норматив затрат на 2021 год</t>
  </si>
  <si>
    <t>Кол-во на 1 человека в год</t>
  </si>
  <si>
    <t>Нормативы с учетом коэффициентов на 2021 год</t>
  </si>
  <si>
    <t>Реализация основных общеобразовательных программ дошкольного образования</t>
  </si>
  <si>
    <t>Гимназия № 16 структурное подразделение</t>
  </si>
  <si>
    <t>МАОУ СОШ № 2 им.М.И.Грибушина структурное подразделение</t>
  </si>
  <si>
    <t>МАОУ СОШ № 1 структурное подразделение</t>
  </si>
  <si>
    <t>МАОУ СОШ № 10 структурное подразделение</t>
  </si>
  <si>
    <t>МАОУ ООШ № 17 с кадетскими классами структурное подразделение</t>
  </si>
  <si>
    <t>Газ на 2020, 2021, 2022гг.</t>
  </si>
  <si>
    <t>Расходы на 2022 год</t>
  </si>
  <si>
    <t>Газово-аэрозольная дезинсекция</t>
  </si>
  <si>
    <t>Цена (огнетушитель ОП-4), руб.</t>
  </si>
  <si>
    <t xml:space="preserve">ФОТ рабочего по комплексному обслуживанию здания </t>
  </si>
  <si>
    <t>Количество ставок</t>
  </si>
  <si>
    <t>Прожиточный минимум</t>
  </si>
  <si>
    <t>Реализация основных общеобразовательных программ дошкольного образования Обучающиеся с ограниченными возможностями здоровья (ОВЗ) От 1 года до 3 лет Очная группа полного дня</t>
  </si>
  <si>
    <t>801011О.99.0.БВ24ВЩ42000</t>
  </si>
  <si>
    <t>Услуга по передаче статистической отчетности</t>
  </si>
  <si>
    <t>Дети-инвалиды на дому</t>
  </si>
  <si>
    <t>Сумма налога за 2021 год</t>
  </si>
  <si>
    <t>Сумма налога за 2022 год</t>
  </si>
  <si>
    <t>Итого в год на воспитанника, руб.</t>
  </si>
  <si>
    <t>Денежная норма на канцтовары для АУП в год</t>
  </si>
  <si>
    <t>Подписка периодических изданий</t>
  </si>
  <si>
    <t>Приобретение канцелярских товаров для административно-управленческого персонала и заправка оргтехники</t>
  </si>
  <si>
    <t>Базовый норматив 2022 год</t>
  </si>
  <si>
    <t>Нормативы с учетом коэффициентов на 2022 год</t>
  </si>
  <si>
    <t>Присмотр и уход Физические лица льготных категорий, определяемых учредителем От 1 года до 3 лет группа полного дня</t>
  </si>
  <si>
    <t>Программный продукт в год, руб.</t>
  </si>
  <si>
    <t>Результаты расчетов объема нормативных затрат на оказание муниципальных услуг, затрат на уплату налогов в сфере образования</t>
  </si>
  <si>
    <t>Вывоз твердых коммунальных отходов в год, руб.</t>
  </si>
  <si>
    <t>ТКО</t>
  </si>
  <si>
    <t>853212О.99.0.БВ23АГ02000</t>
  </si>
  <si>
    <t>Программный продукт</t>
  </si>
  <si>
    <t>Базовый норматив затрат на 2022 год</t>
  </si>
  <si>
    <t>Затраты на моющие средства для прачечной</t>
  </si>
  <si>
    <t>Подготовка и опрессовка системы отопления, замер изоляции</t>
  </si>
  <si>
    <t>Численность обучающихся по услугам на 2021 год</t>
  </si>
  <si>
    <t>Исходные данные на 2021 год</t>
  </si>
  <si>
    <t>Фактические данные коммунальных расходов за 2017-2019 гг.</t>
  </si>
  <si>
    <t>Расчет нормы услуги связи на 2021 год</t>
  </si>
  <si>
    <t>Нормативные затраты на потребление электрической энергии на 2021,2022,2023г.г.</t>
  </si>
  <si>
    <t>Расходы на 2023 год</t>
  </si>
  <si>
    <t>Нормативные затраты на потребление тепловой энергии на 2021, 2022, 2023г.г.</t>
  </si>
  <si>
    <t>Нормативные затраты на потребление водоснабжения на 2021, 2022, 2023г.г.</t>
  </si>
  <si>
    <t>Нормативные затраты на водоотведение на 2021, 2022, 2023г.г.</t>
  </si>
  <si>
    <t>Нормативные затраты на вывоз жидких бытовых отходов на 2021, 2022, 2023г.г.</t>
  </si>
  <si>
    <t>Нормативные затраты на прием сточных вод (выгреб) на 2021, 2022, 2023г.г.</t>
  </si>
  <si>
    <t>Нормативные затраты на дератизацию, дезинсекцию в ДОО на 2021 год</t>
  </si>
  <si>
    <t>Нормативные затраты на зарядку огнетушителей в ДОУ на 2021 год</t>
  </si>
  <si>
    <t>Нормативные затраты на техническое обслуживание газопровода в ДОО на 2021 год</t>
  </si>
  <si>
    <t>Нормативные затраты на аутсорсинг в ДОО на 2021 год</t>
  </si>
  <si>
    <t>"Стрелец- мониторинг" на 2021 год</t>
  </si>
  <si>
    <t>Обслуживание лифтового оборудования на 2021 г.</t>
  </si>
  <si>
    <t>Нормативные затраты на лабораторные исследования в ДОО на 2021 год</t>
  </si>
  <si>
    <t>Нормативные затраты на оплату охраны по КТС в ДОО на 2021 год</t>
  </si>
  <si>
    <t>Норма расходов по передаче неисключительных имущественных прав (лицензии) на использование программных продуктов в ДОО на 2021 год</t>
  </si>
  <si>
    <t>Норма расходов на подписку для АУП в ДОО на 2021 год</t>
  </si>
  <si>
    <t>Расчетно-нормативные затраты на уплату налога на имущество в ДОО на 2021 год</t>
  </si>
  <si>
    <t>Расчетно-нормативные затраты на уплату земельного налога в ДОО на 2021 год</t>
  </si>
  <si>
    <t>Норма расходов на канцелярские товары для АУП в 2021 году</t>
  </si>
  <si>
    <t>в дошкольных образовательных организациях на 2021 год</t>
  </si>
  <si>
    <t>Свод нормативных затрат на общехозяйственные нужды на 2021 год</t>
  </si>
  <si>
    <t>Свод затрат на оплату налогов за 2021 год</t>
  </si>
  <si>
    <t>Свод затрат на оплату налогов за 2022 год</t>
  </si>
  <si>
    <t>Свод  затрат на оплату налогов за 2023 год</t>
  </si>
  <si>
    <t>Базовый норматив 2023 год</t>
  </si>
  <si>
    <t>Базовый норматив затрат на 2023 год</t>
  </si>
  <si>
    <t xml:space="preserve">на 2021 год и на  плановый период 2022, 2023 годов </t>
  </si>
  <si>
    <t>МАОУ СОШ № 13 структурное подразделение</t>
  </si>
  <si>
    <t xml:space="preserve">* </t>
  </si>
  <si>
    <t>* согласно приказу № 570 от 03.12.2019 года О внесении изменений в приложение к Методике расчета нормативных затрат на оказание муниципальной услуги "Присмотр и уход"</t>
  </si>
  <si>
    <t>Щетки для пола капроновые</t>
  </si>
  <si>
    <t>Клей - карандаш 25гр</t>
  </si>
  <si>
    <t>Нормативные затраты на обслуживание АПС в ДОО на 2021 год</t>
  </si>
  <si>
    <t>* автоматическая пожарная сигнализация</t>
  </si>
  <si>
    <t>* Договор № 205411103 от 20.01.2020 года с Теплоэнерго (тариф с 01.07.2020 года - 5 824,79 руб.)</t>
  </si>
  <si>
    <t>* Договор № 37 от 01.01.2020 года с НПФ "Дезсервис" (сумма до договору 22 953,40 руб.)</t>
  </si>
  <si>
    <t>* Договор № б/н от 28.01.2020 года с ООО Трейдстройсервис (сумма по договору 400 000 руб.)</t>
  </si>
  <si>
    <t>* Договор № б/н от 29.01.2020 года с ООО Контакт-1 (сумма по договору 277 600 руб.)</t>
  </si>
  <si>
    <t>Среднегодовая стоимость имущества на 01.07.2020 (имущество по ставке 2,2%)</t>
  </si>
  <si>
    <t>г. Кунгур, ул. Каширина 17а</t>
  </si>
  <si>
    <t>г. Кунгур, ул. Заводская 45</t>
  </si>
  <si>
    <t>г. Кунгур, ул. Дальняя 32</t>
  </si>
  <si>
    <t>г. Кунгур, ул. Дальняя 34</t>
  </si>
  <si>
    <t>* Договор № 205411469 от 09.01.2020 года с Теплоэнерго (тариф с 01.07.2020 года - 5 824,79 руб.)</t>
  </si>
  <si>
    <t>* Договор № 72 от 29.01.2020 года с Зыряновым АГ (сумма по договору 180 401 руб. (130 руб.))</t>
  </si>
  <si>
    <t>* Договор № 114 от 05.02.2020 года с Зыряновым АГ (сумма по договору 70 090 руб. (130 руб.))</t>
  </si>
  <si>
    <t>* Договор № 205412817 от 05.03.2020 года с Теплоэнерго (тариф с 01.07.2020 года - 5 824,79 руб.)</t>
  </si>
  <si>
    <t>* Договор № 23 от 09.01.2020 года с НПФ "Дезсервис" (сумма по договору: дератизация - 25 752 руб., акарицидная обработка - 8 000 руб.)</t>
  </si>
  <si>
    <t>г. Кунгур, ул. Газеты Искра, 13</t>
  </si>
  <si>
    <t>г. Кунгур, ул. Нефтяников 15</t>
  </si>
  <si>
    <t>г. Кунгур, ул. Буровиков 7</t>
  </si>
  <si>
    <t>г. Кунгур, ул. Шоссейная 48</t>
  </si>
  <si>
    <t>59:08:25 01 045:399</t>
  </si>
  <si>
    <t>* Договор № 37/20 от 20.03.2020 года с ООО "Трейдстройсервис" (сумма по договору 348 038,70 руб.)</t>
  </si>
  <si>
    <t>* Договор № /20 от 18.03.2020 года с ИП Шилов ИС (сумма по договору 350 493,40 руб.)</t>
  </si>
  <si>
    <t>* Договор № 35/20 от 18.03.2020 года с ИП Шилов ИС (сумма по договору 413 299,60 руб.)</t>
  </si>
  <si>
    <t>* Договор № ЦМ00275-Д/20 от 09.01.2020 года (сумма по договору 55 183,56 руб.)</t>
  </si>
  <si>
    <t>г. Кунгур, ул. Ситникова 92</t>
  </si>
  <si>
    <t>г. Кунгур, ул. Блюхера 31</t>
  </si>
  <si>
    <t>г. Кунгур, ул. Красноармейская 10</t>
  </si>
  <si>
    <t>г. Кунгур, ул. Ситникова 90</t>
  </si>
  <si>
    <t>г. Кунгур, ул. Труда 48</t>
  </si>
  <si>
    <t>Сумма налога за 2023 год</t>
  </si>
  <si>
    <t>г. Кунгур, ул. Красная 33</t>
  </si>
  <si>
    <t>г. Кунгур, ул. Голованова 50Г</t>
  </si>
  <si>
    <t>59:08:1001001:42</t>
  </si>
  <si>
    <t>г. Кунгур, ул. Свободы 116</t>
  </si>
  <si>
    <t>г. Кунгур, ул. Мамонтова 45</t>
  </si>
  <si>
    <t>г. Кунгур, ул. Просвещения 12</t>
  </si>
  <si>
    <t>59:08:19 01 013:4</t>
  </si>
  <si>
    <t>г. Кунгур, ул. Челюскинцев 13</t>
  </si>
  <si>
    <t>г. Кунгур, ул. Детская 5</t>
  </si>
  <si>
    <t>г. Кунгур, ул. Свердлова 41</t>
  </si>
  <si>
    <t>г. Кунгур,</t>
  </si>
  <si>
    <t>* Договор № 23 от 26.11.2019 года с ООО "Пожарный гарнизон" (сумма по договору 2 875,25 руб. в месяц)</t>
  </si>
  <si>
    <t>* Договор № ЦМ00273-Д/20 от 09.01.2020 года с Центр гигиенты и эпидемиологии в Пермском крае (сумму по договору 38 306,16 руб.)</t>
  </si>
  <si>
    <t>* Договор № 689-СМ на оказание услуг технического обслуживания прибора объектового оконченного с ООО "Пожарный гарнизон" от 01.04.2020 года (стоимость по договору 500 руб. в месяц за каждый объект)</t>
  </si>
  <si>
    <t>* Договор № О 19082514 об оказании услуг охраны с УВО ВНГ РФ, ФГУП "Охрана" от 24.12.20219 года (стоимость по договору 451,11 руб. в месяц по каждому объекту + 20%НДС)</t>
  </si>
  <si>
    <t>* Договор № 457 перезарядка огнетушителей с ООО "Пожарный гарнизон" от 31.01.2020 года (стоимость по договору 5 100 руб.)</t>
  </si>
  <si>
    <t>* Договор № 205410958 от 16.01.2020 года с Теплоэнерго (тариф с 01.07.2020 года - 5 824,79 руб.) - договора нет, в бюджете</t>
  </si>
  <si>
    <t>* Договор № 205411169 от 20.01.2020 года с Теплоэнерго (тариф с 01.07.2020 года - 5 824,79 руб.)</t>
  </si>
  <si>
    <t>* Договор № 6105 с Пермский краевой центр дезинфектологии от 09.01.2020 года (сумма по договору 23 200,85 руб.)</t>
  </si>
  <si>
    <t>* Договор на оказание услуг по обслуживанию зданий с ИП Шахурин В.А. от 09.01.2020 года  (сумма по договору 589 761,12 руб.)</t>
  </si>
  <si>
    <t>* Договор № 103 от 01.01.2020 года с ООО "Центр безопасности" (здание д/с ул. Красная 55 - 38 440 руб. в год; здание д/с ул. Голованова 50 - 30 920 руб.)</t>
  </si>
  <si>
    <t>* Договора нет, по бюджету 10 000 руб.</t>
  </si>
  <si>
    <t>* Договор № 205411158 от 20.01.2020 года с Теплоэнерго (тариф с 01.07.2020 года - 5 824,79 руб.)</t>
  </si>
  <si>
    <t>* Договор № 24 от 13.01.2020 года с Научно-производственная фирма Дезсервис (сумма по договору 18 790,20 руб.)          * Договор № 124 от 27.04.2020 года с Научно-производственная фирма Дезсервис (сумма по договору 2 000 руб.)</t>
  </si>
  <si>
    <t>* Договор № 1090 перезарядка огнетушителей с ООО "Пожарный гарнизон" (стоимость по договору 1 700 руб.)</t>
  </si>
  <si>
    <t>* Договор № 26 обслуживание систем противопожарной защиты с ООО "Пожарный гарнизон" от 09.01.2020 года (стоимость по договору 3 805,08 руб.)</t>
  </si>
  <si>
    <t>* Договор № 686-СМ на оказание услуг технического обслуживания прибора объектового оконченного с ООО "Пожарный гарнизон" от 01.04.2020 года (стоимость по договору 500 руб. в месяц за каждый объект)</t>
  </si>
  <si>
    <t>* Договор УВО ВНГ от 14.01.2020 года (стоимость по договору 3 691,10 руб.)</t>
  </si>
  <si>
    <t>* Договор № 25 от 01.01.2020 года с Научно-производственная фирма "Дезсервис" (сумма по договору 13 684 руб.)</t>
  </si>
  <si>
    <t>* Договор № 205411441 от 24.01.2020 года с Теплоэнерго (тариф с 01.07.2020 года - 5 824,79 руб.)</t>
  </si>
  <si>
    <t>* Договор № О 1308978 об оказании услуг охраны с УВО ВНГ, ФГУП "Охрана" от 01.01.2020 года (стоимость по договору 7 076,95 руб.)</t>
  </si>
  <si>
    <t>* Договор № 42 с ООО "Центр безопасности" от 01.01.2020 года (стоимость по договору 3 000 руб. в месяц по каждому объекту, беру 1 000 руб. ул.Мамонтова 45)</t>
  </si>
  <si>
    <t>* Договор № 40 с ООО "Центр безопасности" от 01.01.2020 года (сумма по договору 1 900 руб. / 2 объекта, беру 950 руб.)</t>
  </si>
  <si>
    <t>* Договор № ЦМ00276-Д/20 с Центр гигиенты и эпидемиологии в Пермском крае от 09.01.2020 года (стоимость по договору 12 743,20 руб.)</t>
  </si>
  <si>
    <t>* Договор № 205410913 от 09.01.2020 года с Теплоэнерго (тариф с 01.07.2020 года - 5 824,79 руб.)</t>
  </si>
  <si>
    <t>* Договор № О 0808744 об оказании услуг охраны с УВО ВНГ РФ, ФГУП "Охрана" от 09.01.2020 года (стоимость по договору 1 912,08 руб. ежемесячно)</t>
  </si>
  <si>
    <t>* Договор № О 0808744 об оказании услуг охраны с УВО ВНГ РФ, ФГУП "Охрана" от 09.01.2020 года (стоимость по договору 649,57 руб. ежемесячно)</t>
  </si>
  <si>
    <t>* Договор № 78 от 09.01.2020 года с ООО "Пожарный гарнизон" (сумма по договору 1 718,79 руб. в месяц)</t>
  </si>
  <si>
    <t>* Договор № 687-СМ на оказание услуг технического обслуживания прибора объектового оконечного с ООО "Пожарный гарнизон" от 01.04.2020 года (сумма по договору 500 руб. ежемесячно за каждый объект)</t>
  </si>
  <si>
    <t xml:space="preserve">* Договор № 205411495 от 10.02.2020 года с Теплоэнерго (тариф с 01.07.2020 года - 5 824,79 руб.) </t>
  </si>
  <si>
    <t>* Договор № 28 от 09.01.2020 года с Научно-производственная фирма "Дезсервис" (стоиомость по договору 10 956 руб.)           * Договор № 152 от 27.04.2020 года с Научно-производственная фирма "Дезсервис" (стоимость по договору 2 000 руб.)</t>
  </si>
  <si>
    <t>* Договор № 690-СМ на оказание услуг технического обслуживания прибора объектового оконченного с ООО "Пожарный гарнизон" от 01.04.2020 года (стоимость по договору 500 руб. в месяц за каждый объект)</t>
  </si>
  <si>
    <t>* Договор № О2008246 на тех.обслуживание комплекса технических средств с ФГУП "Охрана" Росгвардия от 09.012.2020 года (сумма по договору 55 791,12 руб.)</t>
  </si>
  <si>
    <t>* Постановление Региональной службы по тарифам Пермского края от 20.12.2019 года № 72-о</t>
  </si>
  <si>
    <t xml:space="preserve">   в 2020 году тариф 5 824,79 руб.</t>
  </si>
  <si>
    <t xml:space="preserve">   в 2022 года тариф: с 01.01.2021 года по 30.06.2021 год - 5 604,83 руб., с 01.07.2021 года по 31.12.2021 год - 5 712,64 руб., среднее значение 5 658,74 руб.</t>
  </si>
  <si>
    <t xml:space="preserve">   в 2021 году тариф 5 604,83 руб.</t>
  </si>
  <si>
    <t xml:space="preserve">   в 2023 году: тариф за 2022 года индекс. на 4,1% - 5 890,74 руб. (согласно сценарным условиям развития экономики города Кунгура на 2021 - 2023 г.г.)</t>
  </si>
  <si>
    <t>2020 год</t>
  </si>
  <si>
    <t>с 01.07.2020 г.</t>
  </si>
  <si>
    <t>2021 год</t>
  </si>
  <si>
    <t>с 01.01.2021 г.</t>
  </si>
  <si>
    <t>2 075,72 руб.</t>
  </si>
  <si>
    <t>1 976,88 руб.</t>
  </si>
  <si>
    <r>
      <t xml:space="preserve">среднее значение </t>
    </r>
    <r>
      <rPr>
        <b/>
        <sz val="10"/>
        <rFont val="Times New Roman"/>
        <family val="1"/>
        <charset val="204"/>
      </rPr>
      <t>2 026,30 руб.</t>
    </r>
  </si>
  <si>
    <t>2022 год</t>
  </si>
  <si>
    <t>с 01.01.2022 г.</t>
  </si>
  <si>
    <t>с 01.07.2022 г.</t>
  </si>
  <si>
    <t>с 01.07.2021 г.</t>
  </si>
  <si>
    <t>2 152,52 руб.</t>
  </si>
  <si>
    <r>
      <t xml:space="preserve">среднее значение </t>
    </r>
    <r>
      <rPr>
        <b/>
        <sz val="10"/>
        <rFont val="Times New Roman"/>
        <family val="1"/>
        <charset val="204"/>
      </rPr>
      <t>2 114,12 руб.</t>
    </r>
  </si>
  <si>
    <t>2023 год</t>
  </si>
  <si>
    <t>с 01.01.2023 г.</t>
  </si>
  <si>
    <t>с 01.07.2023 г.</t>
  </si>
  <si>
    <t>2 260,15 руб. (индексация 5%)</t>
  </si>
  <si>
    <r>
      <t xml:space="preserve">среднее значение </t>
    </r>
    <r>
      <rPr>
        <b/>
        <sz val="10"/>
        <rFont val="Times New Roman"/>
        <family val="1"/>
        <charset val="204"/>
      </rPr>
      <t>2 206,34 руб.</t>
    </r>
  </si>
  <si>
    <r>
      <t xml:space="preserve">Постановление "О тарифах на тепловую энергию (мощность), поставляемую потребителям общества с ограниченной ответственностью "Тимсервис" № </t>
    </r>
    <r>
      <rPr>
        <b/>
        <u/>
        <sz val="10"/>
        <rFont val="Times New Roman"/>
        <family val="1"/>
        <charset val="204"/>
      </rPr>
      <t>300-т от 19.12.2019 года</t>
    </r>
  </si>
  <si>
    <t>1 959,80 руб.</t>
  </si>
  <si>
    <t>2 006,41 руб.</t>
  </si>
  <si>
    <t>2 068,43 руб.</t>
  </si>
  <si>
    <t>2 171,85 руб. (индексация 5%)</t>
  </si>
  <si>
    <r>
      <t xml:space="preserve">среднее значение </t>
    </r>
    <r>
      <rPr>
        <b/>
        <sz val="10"/>
        <rFont val="Times New Roman"/>
        <family val="1"/>
        <charset val="204"/>
      </rPr>
      <t>1 983,11 руб.</t>
    </r>
  </si>
  <si>
    <r>
      <t xml:space="preserve">среднее значение </t>
    </r>
    <r>
      <rPr>
        <b/>
        <sz val="10"/>
        <rFont val="Times New Roman"/>
        <family val="1"/>
        <charset val="204"/>
      </rPr>
      <t>2 037,42 руб.</t>
    </r>
  </si>
  <si>
    <r>
      <t xml:space="preserve">среднее значение </t>
    </r>
    <r>
      <rPr>
        <b/>
        <sz val="10"/>
        <rFont val="Times New Roman"/>
        <family val="1"/>
        <charset val="204"/>
      </rPr>
      <t>2 120,14 руб.</t>
    </r>
  </si>
  <si>
    <t>для МАОУ СОШ № 13 структурное подразд. (п.Кирова)</t>
  </si>
  <si>
    <t>для МАДОУ ЦРР-детский сад №2, ЦРР-детский сад № 13, СОШ № 1 структурное подраз., СОШ № 2 структурное подразд.,СОШ № 10 структурное подразд., Гимназия № 16 (город)</t>
  </si>
  <si>
    <t>для МАОУ СОШ № 11 структурное подразд. (п.Нагорный)</t>
  </si>
  <si>
    <t>1 921,63 руб.</t>
  </si>
  <si>
    <t>2 017,71 руб. (индексация 5%)</t>
  </si>
  <si>
    <r>
      <t xml:space="preserve">среднее значение </t>
    </r>
    <r>
      <rPr>
        <b/>
        <sz val="10"/>
        <rFont val="Times New Roman"/>
        <family val="1"/>
        <charset val="204"/>
      </rPr>
      <t>1 969,67 руб.</t>
    </r>
  </si>
  <si>
    <r>
      <t>Постановление "О тарифах на тепловую энергию (мощность), поставляемую потребителям общества с ограниченной ответственностью "Тимсервис" № 301-т (</t>
    </r>
    <r>
      <rPr>
        <b/>
        <u/>
        <sz val="10"/>
        <rFont val="Times New Roman"/>
        <family val="1"/>
        <charset val="204"/>
      </rPr>
      <t>273-т) от 19.12.2019 года</t>
    </r>
  </si>
  <si>
    <t>1 969,67 руб. (индексация 5 %)</t>
  </si>
  <si>
    <t>2 068,15 руб.</t>
  </si>
  <si>
    <t>2 068,15 руб. (индексация 5%)</t>
  </si>
  <si>
    <t>2 171,56 руб.</t>
  </si>
  <si>
    <t>Постановление "О тарифах в сфере холодного водоснабжения и водоотведения Кунгурского городского муниципального унитарного предприятия "Водоканал" (Кунгурский городской округ) (с изменениями на 18 декабря 2019 года)" № 100-в от 11.10.2017 года</t>
  </si>
  <si>
    <t>Тариф без НДС20%</t>
  </si>
  <si>
    <t>46,08 руб.</t>
  </si>
  <si>
    <r>
      <t xml:space="preserve">55,30 руб. </t>
    </r>
    <r>
      <rPr>
        <sz val="10"/>
        <rFont val="Times New Roman"/>
        <family val="1"/>
        <charset val="204"/>
      </rPr>
      <t>(с НДС)</t>
    </r>
  </si>
  <si>
    <t>40,09 руб. (48,11 руб. с НДС)</t>
  </si>
  <si>
    <t>41,36 руб. (49,63 руб. с НДС)</t>
  </si>
  <si>
    <r>
      <t xml:space="preserve">среднее значение </t>
    </r>
    <r>
      <rPr>
        <b/>
        <sz val="10"/>
        <rFont val="Times New Roman"/>
        <family val="1"/>
        <charset val="204"/>
      </rPr>
      <t>48,87 руб.</t>
    </r>
  </si>
  <si>
    <t>42,79 руб. (51,35 руб. с НДС)</t>
  </si>
  <si>
    <r>
      <t xml:space="preserve">среднее значение </t>
    </r>
    <r>
      <rPr>
        <b/>
        <sz val="10"/>
        <rFont val="Times New Roman"/>
        <family val="1"/>
        <charset val="204"/>
      </rPr>
      <t>50,49 руб.</t>
    </r>
  </si>
  <si>
    <t>53,92 руб. (51,35 + индексация 5%)</t>
  </si>
  <si>
    <r>
      <t xml:space="preserve">среднее значение </t>
    </r>
    <r>
      <rPr>
        <b/>
        <sz val="10"/>
        <rFont val="Times New Roman"/>
        <family val="1"/>
        <charset val="204"/>
      </rPr>
      <t>52,63 руб.</t>
    </r>
  </si>
  <si>
    <t>37,95 руб.</t>
  </si>
  <si>
    <r>
      <t xml:space="preserve">45,54 руб. </t>
    </r>
    <r>
      <rPr>
        <sz val="10"/>
        <rFont val="Times New Roman"/>
        <family val="1"/>
        <charset val="204"/>
      </rPr>
      <t>(с НДС)</t>
    </r>
  </si>
  <si>
    <t>36,22 руб. (43,46 руб. с НДС)</t>
  </si>
  <si>
    <t>37,09 руб. (44,51 руб. с НДС)</t>
  </si>
  <si>
    <t>38,39 руб. (46,07 руб. с НДС)</t>
  </si>
  <si>
    <r>
      <t xml:space="preserve">среднее значение </t>
    </r>
    <r>
      <rPr>
        <b/>
        <sz val="10"/>
        <rFont val="Times New Roman"/>
        <family val="1"/>
        <charset val="204"/>
      </rPr>
      <t>43,99 руб.</t>
    </r>
  </si>
  <si>
    <r>
      <t xml:space="preserve">среднее значение </t>
    </r>
    <r>
      <rPr>
        <b/>
        <sz val="10"/>
        <rFont val="Times New Roman"/>
        <family val="1"/>
        <charset val="204"/>
      </rPr>
      <t>45,29 руб.</t>
    </r>
  </si>
  <si>
    <t>48,37 руб. (46,07 + индексация 5%)</t>
  </si>
  <si>
    <r>
      <t xml:space="preserve">среднее значение </t>
    </r>
    <r>
      <rPr>
        <b/>
        <sz val="10"/>
        <rFont val="Times New Roman"/>
        <family val="1"/>
        <charset val="204"/>
      </rPr>
      <t>47,22 руб.</t>
    </r>
  </si>
  <si>
    <t>21,29 руб.</t>
  </si>
  <si>
    <r>
      <t xml:space="preserve">25,55 руб. </t>
    </r>
    <r>
      <rPr>
        <sz val="10"/>
        <rFont val="Times New Roman"/>
        <family val="1"/>
        <charset val="204"/>
      </rPr>
      <t>(с НДС)</t>
    </r>
  </si>
  <si>
    <t>21,39 руб. (25,67 руб. с НДС)</t>
  </si>
  <si>
    <t>22,48 руб. (26,98 руб. с НДС)</t>
  </si>
  <si>
    <t>21,09 руб. (25,31 руб. с НДС)</t>
  </si>
  <si>
    <r>
      <t xml:space="preserve">среднее значение </t>
    </r>
    <r>
      <rPr>
        <b/>
        <sz val="10"/>
        <rFont val="Times New Roman"/>
        <family val="1"/>
        <charset val="204"/>
      </rPr>
      <t>25,49 руб.</t>
    </r>
  </si>
  <si>
    <r>
      <t xml:space="preserve">среднее значение </t>
    </r>
    <r>
      <rPr>
        <b/>
        <sz val="10"/>
        <rFont val="Times New Roman"/>
        <family val="1"/>
        <charset val="204"/>
      </rPr>
      <t>26,32 руб.</t>
    </r>
  </si>
  <si>
    <t>28,33 руб. (46,07 + индексация 5%)</t>
  </si>
  <si>
    <r>
      <t xml:space="preserve">среднее значение </t>
    </r>
    <r>
      <rPr>
        <b/>
        <sz val="10"/>
        <rFont val="Times New Roman"/>
        <family val="1"/>
        <charset val="204"/>
      </rPr>
      <t>27,65 руб.</t>
    </r>
  </si>
  <si>
    <t>* Договор № 756-СМ на оказание услуг технического обслуживания прибора объектового оконечного с ООО "Пожарный гарнизон" с 01.04.2020 года (стоимость по договору 500 руб. за каждый объект ежемесячно)</t>
  </si>
  <si>
    <t>* Договор № 75 от 09.01.2020 года с ООО "Пожарный гарнизон" от 09.01.2020 года (сумма по договору 72 283,92 руб.)</t>
  </si>
  <si>
    <t>* Договор № О 19082525 об оказании услуг охраны с УВО ВНГ, ФГУП "Охрана" от 09.01.2020 года (стоимость по договору 79 113,12 руб.)</t>
  </si>
  <si>
    <t>ул.Дальняя 34</t>
  </si>
  <si>
    <t>ул.Каширина 17а</t>
  </si>
  <si>
    <t>* Договор № М-04/19-ТО на оказание охранных услуг с помощью технических средств с Охранное агентство Зодиак от 09.01.2020 года (стоимость по договору 249 445,20 руб.)</t>
  </si>
  <si>
    <t>* Договор № О 19082535 об оказании услуг охраны с УВО ВНГ, ФГУП "Охрана" от 09.01.2020 года (стоимость по договору № 75 959,76 руб.)</t>
  </si>
  <si>
    <t>* Договор № О 19082535 об оказании услуг охраны с УВО ВНГ, ФГУП "Охрана" от 09.01.2020 года (стоимость по договору № 100 418,64 руб.)</t>
  </si>
  <si>
    <t>ул.Дальняя 32</t>
  </si>
  <si>
    <t>ул.Заводская 45</t>
  </si>
  <si>
    <t>ул.Г.Искра 13</t>
  </si>
  <si>
    <t>ул.Нефтяников 15</t>
  </si>
  <si>
    <t>ул.Буровиков 6</t>
  </si>
  <si>
    <t>ул.Шоссейная 48</t>
  </si>
  <si>
    <t>* Договор № М-30/19-ТО на оказание охранных услуг с помощью технических средств с Охранное агентство Зодиак от 09.01.2020 года (стоимость услуг 29 621,61 руб. ежемесячно)</t>
  </si>
  <si>
    <t>* Договор № О 08081028 об оказании услуг охраны с УВО ВНГ, ФГУП "Охрана" от 09.01.2020 года (стоимость по договору 9 843,12 руб. в месяц)</t>
  </si>
  <si>
    <t>* Договор № О 08081028 об оказании услуг охраны с УВО ВНГ, ФГУП "Охрана" от 09.01.2020 года (стоимость по договору 2 392,77 руб. в месяц)</t>
  </si>
  <si>
    <t>* Договор № 9 обслуживание систем противопожарной защиты с ООО Пожарный гарнизон от 09.01.2020 года (сумма по договору 77 959,80 руб.)</t>
  </si>
  <si>
    <t>* Договор № 684-СМ на оказание обслуживания прибора объектового оканечного с ООО Пожарный гарнизон от 07.05.2020 года (стоимость по договору 500 руб. за каждый объект ежемесячно)</t>
  </si>
  <si>
    <t>ул.Ситникова 92</t>
  </si>
  <si>
    <t>* Договор № М-20/19-ТО на оказание охранных услуг с помощью технических средств с Охранное агентство Зодиак от 03.02.2020 года (стоимость по договору 124 722,60 руб.)</t>
  </si>
  <si>
    <t>ул.Красноармейская 10</t>
  </si>
  <si>
    <t>* Договор № 112 с Научно-производственная фирма "Дезсервис" от 06.05.2020 года (сумма по договору 8 000 руб.)</t>
  </si>
  <si>
    <t>* Договор № О 19082525 об оказании услуг охраны с УВО ВНГ, ФГУП "Охрана" от 09.01.2020 года (стоимость по договору 10 044,16 руб.)</t>
  </si>
  <si>
    <t>* Договор на обслуживание лифтового оборудования с ООО "Кунгур-Лифт+" от 01.01.2020 года (стоимость по договору 1 320 руб. за месяц)</t>
  </si>
  <si>
    <t>* Договор № 153 от 09.01.2020 года с ООО "Пожарный гарнизон" (сумма по договору 141 000 руб.)</t>
  </si>
  <si>
    <t xml:space="preserve">* Договор на оказание услуг по техническому обслуживанию здания с ООО "Трейдстройсервис" от 09.01.2020 года (стоимость по договору 940 000 руб.) (обсл.теплового счетчика будут включены </t>
  </si>
  <si>
    <t>ул.Блюхера 31</t>
  </si>
  <si>
    <t>* Договор № М-22/19-ТО на оказание охранных услуг с помощью технических средств с Охранное агентство Зодиак от 03.02.2020 года (стоимость по договору 10 395,55 руб.)</t>
  </si>
  <si>
    <t>ул.Ситникова 90</t>
  </si>
  <si>
    <t>* Согласно сайта Пожарного гарнизона (г.Пермь) заправка огнетушителя 346 руб.</t>
  </si>
  <si>
    <t>ул.Труда 48</t>
  </si>
  <si>
    <t xml:space="preserve">* Договор № 198/20 о центр.охране с помощью пульта и тех.обслуж.ТСО с ООО ЧОО Кунгур 59 от 01.01.2020 года (сумма по договору </t>
  </si>
  <si>
    <t>ул.Голованова 50Г</t>
  </si>
  <si>
    <t>* Договор № М-07/19-ТО на оказание охранных услуг с помощью технических средств с Охранное агентство Зодиак от 09.01.2020 года  (стоимость по договору 10 393,55 руб.)</t>
  </si>
  <si>
    <t>* Договор с ООО "Центр безопасности" № 155 от 29.04.2020 года (500 руб. в месяц за каждый объект)</t>
  </si>
  <si>
    <t>ул.Красная 33</t>
  </si>
  <si>
    <t xml:space="preserve">ул.Детская 5  </t>
  </si>
  <si>
    <t>ул.Свердлова 41</t>
  </si>
  <si>
    <t>ул.Детская 5 (+склад)</t>
  </si>
  <si>
    <t>* Договор № М-02/19-ТО на оказание охранных услуг с помощью тех.средств с ООО Охранное агентство Зодиак от 30.12.2019 года (стоимость по договору 35 049,68 руб. ежемесячно)</t>
  </si>
  <si>
    <t>* Договор № О 19082533 с ФГУП "Охрана" с 09.01.2020 года (стоимость по договору за месяц 4 355,04 руб.)</t>
  </si>
  <si>
    <t>* Договор № О 19082533 об оказании услуг охраны с УВО ВНГ, ФГУП "Охрана" от 09.01.2020 года (стоимость по договору 4 461,52 руб.)</t>
  </si>
  <si>
    <t>* Договор № О 19082533 об оказании услуг охраны с УВО ВНГ, ФГУП "Охрана" от 09.01.2020 года (стоимость по договору 879,24 руб.)</t>
  </si>
  <si>
    <t>* Договор № О 1308978 об оказании услуг охраны с УВО ВНГ, ФГУП "Охрана" от 01.01.2020 года (стоимость по договору 2 458,54 руб.)</t>
  </si>
  <si>
    <t>ул.Просвещения 12</t>
  </si>
  <si>
    <t>ул.Мамонтова 45</t>
  </si>
  <si>
    <t>* Договор № О 1308978 об оказании услуг охраны с УВО ВНГ, ФГУП "Охрана" от 01.01.2020 года (стоимость по договору 3 761,46 руб.)</t>
  </si>
  <si>
    <t>* Договор № 1 от 13.01.2020 года на оказание возмездных услуг по вывозу сточных вод (стоимость услуг по договору 130 руб.)</t>
  </si>
  <si>
    <t>* Договор № О 19082534 на оказание услуг с УВО ВНГ, ФГУП "Охрана"  от 14.01.2020 года (стоимость по договору 5 736,24 руб.)</t>
  </si>
  <si>
    <t>ул.Пугачева 136б</t>
  </si>
  <si>
    <t>* Договор № О 19082534 на оказание услуг с УВО ВНГ, ФГУП "Охрана"  от 14.01.2020 года (стоимость по договору 1 197,92 руб.)</t>
  </si>
  <si>
    <t>ул.Хмелева 15</t>
  </si>
  <si>
    <t>ул.Красная 69а</t>
  </si>
  <si>
    <t>* Договор № О 1808745 об оказании услуг охраны с УВО ВНГ РФ, ФГУП "Охрана" от 21.02.2020 года (стоимость по договору 1 185,37 руб.)</t>
  </si>
  <si>
    <t>ул.Челюскинцев 13</t>
  </si>
  <si>
    <t>* Договор с ООО "Пожарный гарнизон" № 95 от 09.01.2020 года (стоимость по договору 1 180,29 руб.)</t>
  </si>
  <si>
    <t>* Договор № 683-СМ на оказание услуг технического обслуживания прибора объектового оконечного с ООО "Пожарный гарнизон" от 01.04.2020 года (сумма по договору 500 руб. в месяц за каждый объект)</t>
  </si>
  <si>
    <t>* Договор № М-03/19-ТО на оказание охранных услуг с помощью технических средств с ООО Охранное агентство Зодиак от 13.01.2020 года (стоимость по договору 18 131,61 руб.)</t>
  </si>
  <si>
    <t>* Договор на оказание услуг по техническому обслуживанию здания с ООО "Трейдстройсервис" от 09.01.2020 года (стоимость по приложению № 2 к договору 31 750,44 руб. в месяц)</t>
  </si>
  <si>
    <t>* Договор № 11 с ИП Зырянов А.Г. На оказание возмездных услуг по вывозу сточных вод от 09.01.2020 года</t>
  </si>
  <si>
    <t>ул.Кольцова 30</t>
  </si>
  <si>
    <t>* Договор № 12/19-ТО на оказание охранных услуг с помощью тех.средств с ООО Охранное агентство Зодиак от 09.01.2020 года (сумма по договору 124 722,60 руб.)</t>
  </si>
  <si>
    <t>* Договор № 2/ТО с ЗАО "Блок Плюс" от 09.01.2020 года (стоимость по договору 240 000 руб.)       * Договор № 207 с ООО "Т3" от 24.12.2019 года на оказание услуг по тех.обслуживанию системы отопления (макс.стоимость по договору 108 174,91 руб.), в договоре блок нет оказания таких работ</t>
  </si>
  <si>
    <t>Услуги охраны</t>
  </si>
  <si>
    <t>Услуги охраны в год, руб.</t>
  </si>
  <si>
    <t>Нормативы с учетом коэффициентов на 2023 год</t>
  </si>
  <si>
    <t>Объем финансовых средств за счет местного бюджета на 2021 год</t>
  </si>
  <si>
    <t>Объем финансовых средств от приносящей доход деятельности за 2019 год</t>
  </si>
  <si>
    <t>Нормативные затраты на услуги охраны в ДОО на 2021 год</t>
  </si>
  <si>
    <t>Нормативные затраты на обслуживание КТС в ДОО на 2021 год</t>
  </si>
  <si>
    <t>* Согласно новой программы на 2021 года стоимость 11 226,74 руб.</t>
  </si>
  <si>
    <t>* Договор № б/н от 15.01.2020 года с ООО УралРегионСтрой (приложен расчет стоимости тех.обслуживания на 2021 год - 528 867 руб.) * Договор возмездного оказания услуг б/н от 20.12.2019 года с ООО УК Партнер Кунгур (стоимость по договору 57 600 руб., не берем, т.к. только снятие и передача показания счетчика)</t>
  </si>
  <si>
    <t>* Договор № б/н с ООО "Трейдстройсервис" от 20.01.2020 года (коммерческое предложение расчета стоимости тех.обслуживания здания - сумма по договору 268 243,80 руб.)</t>
  </si>
  <si>
    <t>* Договор № 1/01/20 от 13.01.2020 года с ИП Шахурин В.А. (расчет стоимости обслуж.здания стр.подразд. На 2021 год - 375 075,72 руб.)     * Договор № 14 от 09.01.2020 года с ИП Шахурин В.А. (обслуживание теплового счетчика, стоимость по договору 3 000 руб. * 9 мес = 27 000 руб.)</t>
  </si>
  <si>
    <t>* Информация о передаче непрофильных услуг: расходы по договору краевой бюджет : 13 950,00 руб. или 14 250,80 руб. (МРОТ + уральский коэф.за 2020 год, если есть ком.предложение на 2021 год, то МРОТ + уральский коэф.за 2021 год) : 1,302 (страховые взносы) : 12 мес. = количество ставок</t>
  </si>
  <si>
    <t>Нормативные затраты на вывоз твердых коммунальных отходов в ДОО на 2021 год</t>
  </si>
  <si>
    <t>Присмотр и уход Дети-инвалиды От 1 лет до 3 лет группа полного дня</t>
  </si>
  <si>
    <t>853211О.99.0.БВ19АА08000</t>
  </si>
  <si>
    <t>Е.С. Пасхина</t>
  </si>
  <si>
    <t>6-27-10</t>
  </si>
  <si>
    <t>численность</t>
  </si>
  <si>
    <t>добавила</t>
  </si>
  <si>
    <t>Присмотр и уход (с учетом посещаемости 65%)</t>
  </si>
  <si>
    <t>1 чт.        48 680 100,00</t>
  </si>
  <si>
    <t>* Письмо от ИП Зырянов АГ № 80 от 22.10.2020 года , уведомление что с 01.01.2021 года цена на вывоз хозяйственно-бытовых стоков составит 140 руб. за 1м3 (д/с № 2)</t>
  </si>
  <si>
    <t>801011О.99.0.БВ24ВЩ42001</t>
  </si>
  <si>
    <t>* Договор № М-23/19-ТО на оказание охранных услуг с помощью технических средств с Охранное агентство Зодиак от 03.02.2020 года (стоимость по договору 10 393,55 руб.)</t>
  </si>
  <si>
    <t>* Договор № М-21/19-ТО на оказание охраных услуг с помощью технических средств С Охранное агентство Зодиак от 03.02.2020 года (стоимость по договору 10 393,55 руб. в месяц)</t>
  </si>
  <si>
    <t>МБОУ "Бырминская СОШ" структурное подразделение</t>
  </si>
  <si>
    <t>МБОУ "Голдыреская СОШ" структурное подразделение</t>
  </si>
  <si>
    <t>МБОУ "Ергачинская СОШ" структурное подразделение</t>
  </si>
  <si>
    <t>МБОУ "Калининская СОШ им. Ф.П.Хохрякова" структурное подразделение</t>
  </si>
  <si>
    <t>МАОУ "Комсомольская СОШ" структурное подразделение</t>
  </si>
  <si>
    <t xml:space="preserve"> МБОУ "Кыласовская СОШ" структурное подразделение</t>
  </si>
  <si>
    <t>МАОУ "Ленская СОШ" структурное подразделение</t>
  </si>
  <si>
    <t>МБОУ "Плехановская СОШ" структурное подразделение</t>
  </si>
  <si>
    <t>МБОУ "Сергинская СОШ" структурное подразделение</t>
  </si>
  <si>
    <t>МБОУ "Троельжанская СОШ" структурное подразделение</t>
  </si>
  <si>
    <t>МБОУ "Усть-Турская СОШ" структурное подразделение</t>
  </si>
  <si>
    <t>МБОУ "Шадейская СОШ" структурное подразделение</t>
  </si>
  <si>
    <t>МБОУ "Моховская ООШ" структурное подразделение</t>
  </si>
  <si>
    <t>МБОУ "Неволинская ООШ" структурное подразделение</t>
  </si>
  <si>
    <t>МБОУ "Троицкая ООШ" структурное подразделение</t>
  </si>
  <si>
    <t>МБОУ "Филипповская ООШ" структурное подразделение</t>
  </si>
  <si>
    <t>Итого:</t>
  </si>
  <si>
    <t>Присмотр и уход дети-сироты        100%</t>
  </si>
  <si>
    <t>Присмотр и уход дети с туберкулезной интоксикацией - 100%</t>
  </si>
  <si>
    <t>Присмотр и уход дети с ограниченными возможностями здоровья -50%</t>
  </si>
  <si>
    <t>Присмотр и уход дети из семей, имеющих трех и более детей дошкольного возраста, а также детей-близнецов дошкольного возраста - 50%</t>
  </si>
  <si>
    <t>Присмотр и уход дети из семей, в которых один из родителей является инвалидом I или II группы - 50%</t>
  </si>
  <si>
    <t>Присмотр и уход дети одиноких матерей (отцов), имеющих на еждивении 2х и более детей - 50%</t>
  </si>
  <si>
    <t>Присмотр и уход дети из семей со среднедушевым уровнем дохода ниже прожиточного минимума и находящиеся в социально опасном положении - 50%</t>
  </si>
  <si>
    <t>от  3 до 7 лет</t>
  </si>
  <si>
    <t>от 1 до 3х лет</t>
  </si>
  <si>
    <t>Присмотр и уход дети оставшиеся без попечения родителей - 100 %</t>
  </si>
  <si>
    <t xml:space="preserve">Дети без льготных категорий </t>
  </si>
  <si>
    <t xml:space="preserve">Присмотр и уход дети-инвалиды    100% </t>
  </si>
  <si>
    <t>Субпродукты (печень, язык, сердце)</t>
  </si>
  <si>
    <t>Присмотр и уход дети из семей, имеющих трех и более детей дошкольного возраста, а также детей-близнецов дошкольного возраста От 1 года до 3 лет группа полного дня</t>
  </si>
  <si>
    <t>Присмотр и уход дети из семей, в которых один из родителей является инвалидом I или II группы От 1 года до 3 лет группа полного дня</t>
  </si>
  <si>
    <t>Присмотр и уход дети одиноких матерей (отцов), имеющих на еждивении 2х и более детей От 1 года до 3 лет группа полного дня</t>
  </si>
  <si>
    <t>Присмотр и уход дети из семей со среднедушевым уровнем дохода ниже прожиточного минимума и находящиеся в социально опасном положении От 1 года до 3 лет группа полного дня</t>
  </si>
  <si>
    <t>Присмотр и уход дети из семей, имеющих трех и более детей дошкольного возраста, а также детей-близнецов дошкольного возраста От 3 лет до 8 лет группа полного дня</t>
  </si>
  <si>
    <t>Присмотр и уход дети из семей, в которых один из родителей является инвалидом I или II группы От 3 лет до 8 лет группа полного дня</t>
  </si>
  <si>
    <t>Присмотр и уход дети одиноких матерей (отцов), имеющих на еждивении 2х и более детей От 3 лет до 8 лет группа полного дня</t>
  </si>
  <si>
    <t>Присмотр и уход дети из семей со среднедушевым уровнем дохода ниже прожиточного минимума и находящиеся в социально опасном положении От 3 лет до 8 лет группа полного дня</t>
  </si>
  <si>
    <t>Норма  обеспеченности на 1 обучающегося (от 1 года до 3 лет) моющими средствами</t>
  </si>
  <si>
    <t xml:space="preserve">Норма  обеспеченности на 1 обучающегося (от 3 лет до 8 лет) моющими средствами </t>
  </si>
  <si>
    <t xml:space="preserve">Сумма родительской платы </t>
  </si>
  <si>
    <t>Численность обучающихся , с учетом посещаемости 65%</t>
  </si>
  <si>
    <t>Численность обучающихся по услугам</t>
  </si>
  <si>
    <t xml:space="preserve">в дошкольных образовательных организациях </t>
  </si>
  <si>
    <t>Молоко, молочная и кисломолочная продукция</t>
  </si>
  <si>
    <t>Творог (5% - 9% м.д.ж.)</t>
  </si>
  <si>
    <t>Сметана</t>
  </si>
  <si>
    <t>Сыр</t>
  </si>
  <si>
    <t>Мясо 1-й категории</t>
  </si>
  <si>
    <t>Птица (куры, цыплята-бройлеры, индейка - потрошеная, 1 кат.)</t>
  </si>
  <si>
    <t>Яйцо, шт.</t>
  </si>
  <si>
    <t>Овощи</t>
  </si>
  <si>
    <t>Фрукты свежие</t>
  </si>
  <si>
    <t>Сухофрукты</t>
  </si>
  <si>
    <t>Соки фруктовые и овощные</t>
  </si>
  <si>
    <t>Витаминизированные напитки</t>
  </si>
  <si>
    <t>Хлеб ржаной</t>
  </si>
  <si>
    <t>Хлеб пшеничный</t>
  </si>
  <si>
    <t>Крупы, бобовые</t>
  </si>
  <si>
    <t>Мука пшеничная</t>
  </si>
  <si>
    <t>Масло сливочное</t>
  </si>
  <si>
    <t>Чай</t>
  </si>
  <si>
    <t>Крахмал</t>
  </si>
  <si>
    <t>Соль пищевая поваренная йодированная</t>
  </si>
  <si>
    <t>Расчет натуральных норм питания на 1 воспитанника в соответствии с утвержденными санитарно-эпидемиологическими правилами и нормативами в день.</t>
  </si>
  <si>
    <t>Реализация основных общеобразовательных программ дошкольного образования Адаптированная образовательная программа От 3 лет до 8 лет Очная группа полного дня</t>
  </si>
  <si>
    <t xml:space="preserve">Присмотр и уход обучающиеся с ограниченными возможностями здоровья (ОВЗ). От 1 года до 3 лет группа полного дня  </t>
  </si>
  <si>
    <t xml:space="preserve">Присмотр и уход обучающиеся с ограниченными возможностями здоровья (ОВЗ). От 3 лет до 8 лет группа полного дня  </t>
  </si>
  <si>
    <t>проверка</t>
  </si>
  <si>
    <t>Реализация основных общеобразовательных программ дошкольного образования от 3  до 8  лет  с численностью менее 110 человек по адресу: Заводская, д.45</t>
  </si>
  <si>
    <t>Реализация основных общеобразовательных программ дошкольного образования от 3  до 8  лет  с численностью менее 110 человек по адресу: Блюхера, д.31</t>
  </si>
  <si>
    <t>Реализация основных общеобразовательных программ дошкольного образования от 1  до 3  лет  с численностью менее 110 человек по адресу: Красноармейская, д.10</t>
  </si>
  <si>
    <t>Присмотр и уход Физические лица за исключением льготных категорий от 1  до 3  лет с численностью менее 110 человек по адресу: Красноармейская, д.10</t>
  </si>
  <si>
    <t>Присмотр и уход Физические лица за исключением льготных категорий от 3  до 8  лет с численностью менее 110 человек по адресу: Блюхера, д.31</t>
  </si>
  <si>
    <t>Присмотр и уход Физические лица за исключением льготных категорий от 3  до 8  лет  с численностью менее 110 человек по адресу: Заводская, д.45</t>
  </si>
  <si>
    <t>Наполняемость групп</t>
  </si>
  <si>
    <t>исходные данные на 2023 г.</t>
  </si>
  <si>
    <t>исх.данные в МО на 2023-2025</t>
  </si>
  <si>
    <t>из бюджета</t>
  </si>
  <si>
    <t>из прайса</t>
  </si>
  <si>
    <t>из исх.данных</t>
  </si>
  <si>
    <t>Численность обучающихся , с учетом посещаемости 65 %</t>
  </si>
  <si>
    <t>РП</t>
  </si>
  <si>
    <t>Нормативные затраты на питание по новому нормативу</t>
  </si>
  <si>
    <t>Нормативные затраты на питание по старому нормативу</t>
  </si>
  <si>
    <t>потребность в доп.средствах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</si>
</sst>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;[Red]#,##0.00"/>
    <numFmt numFmtId="166" formatCode="#,##0;[Red]#,##0"/>
    <numFmt numFmtId="167" formatCode="0.000"/>
    <numFmt numFmtId="168" formatCode="0.0%"/>
    <numFmt numFmtId="169" formatCode="_(* #,##0.00_);_(* \(#,##0.00\);_(* &quot;-&quot;??_);_(@_)"/>
    <numFmt numFmtId="170" formatCode="#,##0.00_ ;\-#,##0.00\ "/>
    <numFmt numFmtId="171" formatCode="#,##0.000"/>
    <numFmt numFmtId="172" formatCode="#,##0.0000"/>
    <numFmt numFmtId="173" formatCode="#,##0_ ;\-#,##0\ "/>
    <numFmt numFmtId="174" formatCode="#,##0.000;[Red]#,##0.000"/>
    <numFmt numFmtId="175" formatCode="#,##0.000_ ;\-#,##0.000\ "/>
    <numFmt numFmtId="176" formatCode="0.0000"/>
    <numFmt numFmtId="177" formatCode="#,##0.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  <font>
      <b/>
      <sz val="10"/>
      <name val="Arial"/>
      <family val="2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u/>
      <sz val="10"/>
      <name val="Times New Roman"/>
      <family val="1"/>
      <charset val="204"/>
    </font>
    <font>
      <u/>
      <sz val="10"/>
      <name val="Arial Cyr"/>
      <charset val="204"/>
    </font>
    <font>
      <b/>
      <sz val="10"/>
      <color rgb="FFFF000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3"/>
      <name val="Times New Roman"/>
      <family val="1"/>
      <charset val="204"/>
    </font>
    <font>
      <b/>
      <sz val="10"/>
      <color theme="3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u/>
      <sz val="10"/>
      <name val="Times New Roman"/>
      <family val="1"/>
      <charset val="204"/>
    </font>
  </fonts>
  <fills count="2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DBEEF4"/>
        <bgColor rgb="FFEBF1DE"/>
      </patternFill>
    </fill>
    <fill>
      <patternFill patternType="solid">
        <fgColor rgb="FFFDEADA"/>
        <bgColor rgb="FFEBF1DE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1">
    <xf numFmtId="0" fontId="0" fillId="0" borderId="0"/>
    <xf numFmtId="0" fontId="4" fillId="0" borderId="0"/>
    <xf numFmtId="0" fontId="5" fillId="0" borderId="0"/>
    <xf numFmtId="0" fontId="5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164" fontId="15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0" fontId="23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2" fillId="0" borderId="0"/>
    <xf numFmtId="0" fontId="1" fillId="0" borderId="0"/>
  </cellStyleXfs>
  <cellXfs count="1266">
    <xf numFmtId="0" fontId="0" fillId="0" borderId="0" xfId="0"/>
    <xf numFmtId="0" fontId="4" fillId="0" borderId="0" xfId="1"/>
    <xf numFmtId="0" fontId="6" fillId="0" borderId="0" xfId="2" applyFont="1" applyFill="1" applyBorder="1" applyAlignment="1">
      <alignment horizontal="left" vertical="center" wrapText="1"/>
    </xf>
    <xf numFmtId="2" fontId="4" fillId="0" borderId="0" xfId="1" applyNumberFormat="1"/>
    <xf numFmtId="0" fontId="4" fillId="0" borderId="0" xfId="1" applyFill="1"/>
    <xf numFmtId="0" fontId="7" fillId="4" borderId="0" xfId="3" applyFont="1" applyFill="1"/>
    <xf numFmtId="0" fontId="6" fillId="4" borderId="2" xfId="3" applyFont="1" applyFill="1" applyBorder="1" applyAlignment="1">
      <alignment horizontal="right" vertical="center" wrapText="1"/>
    </xf>
    <xf numFmtId="4" fontId="6" fillId="4" borderId="2" xfId="3" applyNumberFormat="1" applyFont="1" applyFill="1" applyBorder="1" applyAlignment="1">
      <alignment horizontal="center" vertical="center" wrapText="1"/>
    </xf>
    <xf numFmtId="0" fontId="6" fillId="4" borderId="0" xfId="3" applyFont="1" applyFill="1"/>
    <xf numFmtId="0" fontId="6" fillId="4" borderId="0" xfId="3" applyFont="1" applyFill="1" applyBorder="1"/>
    <xf numFmtId="0" fontId="7" fillId="4" borderId="0" xfId="3" applyFont="1" applyFill="1" applyAlignment="1">
      <alignment vertical="center" wrapText="1"/>
    </xf>
    <xf numFmtId="4" fontId="6" fillId="4" borderId="2" xfId="4" applyNumberFormat="1" applyFont="1" applyFill="1" applyBorder="1" applyAlignment="1">
      <alignment horizontal="center" vertical="center" wrapText="1"/>
    </xf>
    <xf numFmtId="4" fontId="6" fillId="4" borderId="2" xfId="4" applyNumberFormat="1" applyFont="1" applyFill="1" applyBorder="1" applyAlignment="1">
      <alignment horizontal="center" vertical="center"/>
    </xf>
    <xf numFmtId="4" fontId="6" fillId="4" borderId="2" xfId="5" applyNumberFormat="1" applyFont="1" applyFill="1" applyBorder="1" applyAlignment="1">
      <alignment horizontal="center" vertical="center"/>
    </xf>
    <xf numFmtId="0" fontId="6" fillId="0" borderId="0" xfId="1" applyFont="1"/>
    <xf numFmtId="0" fontId="7" fillId="0" borderId="0" xfId="1" applyFont="1"/>
    <xf numFmtId="4" fontId="6" fillId="3" borderId="2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0" xfId="1" applyFont="1" applyFill="1"/>
    <xf numFmtId="0" fontId="6" fillId="0" borderId="2" xfId="1" applyFont="1" applyFill="1" applyBorder="1"/>
    <xf numFmtId="0" fontId="6" fillId="0" borderId="9" xfId="1" applyFont="1" applyBorder="1"/>
    <xf numFmtId="0" fontId="7" fillId="0" borderId="19" xfId="1" applyFont="1" applyBorder="1"/>
    <xf numFmtId="4" fontId="7" fillId="3" borderId="17" xfId="1" applyNumberFormat="1" applyFont="1" applyFill="1" applyBorder="1" applyAlignment="1">
      <alignment horizontal="center"/>
    </xf>
    <xf numFmtId="0" fontId="7" fillId="0" borderId="17" xfId="1" applyFont="1" applyBorder="1"/>
    <xf numFmtId="2" fontId="7" fillId="0" borderId="17" xfId="1" applyNumberFormat="1" applyFont="1" applyBorder="1" applyAlignment="1">
      <alignment horizontal="center"/>
    </xf>
    <xf numFmtId="0" fontId="9" fillId="0" borderId="0" xfId="1" applyFont="1" applyAlignment="1">
      <alignment wrapText="1"/>
    </xf>
    <xf numFmtId="0" fontId="6" fillId="0" borderId="2" xfId="1" applyFont="1" applyBorder="1" applyAlignment="1">
      <alignment horizontal="center"/>
    </xf>
    <xf numFmtId="0" fontId="7" fillId="0" borderId="2" xfId="1" applyFont="1" applyBorder="1"/>
    <xf numFmtId="0" fontId="7" fillId="0" borderId="0" xfId="1" applyFont="1" applyAlignment="1"/>
    <xf numFmtId="0" fontId="6" fillId="0" borderId="0" xfId="1" applyFont="1" applyBorder="1"/>
    <xf numFmtId="0" fontId="6" fillId="3" borderId="0" xfId="1" applyFont="1" applyFill="1" applyBorder="1"/>
    <xf numFmtId="4" fontId="7" fillId="0" borderId="2" xfId="1" applyNumberFormat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4" borderId="2" xfId="3" applyFont="1" applyFill="1" applyBorder="1"/>
    <xf numFmtId="0" fontId="6" fillId="0" borderId="0" xfId="1" applyFont="1" applyAlignment="1">
      <alignment horizontal="left"/>
    </xf>
    <xf numFmtId="0" fontId="6" fillId="0" borderId="2" xfId="1" applyFont="1" applyBorder="1" applyAlignment="1">
      <alignment wrapText="1"/>
    </xf>
    <xf numFmtId="0" fontId="6" fillId="0" borderId="2" xfId="1" applyFont="1" applyBorder="1" applyAlignment="1">
      <alignment horizontal="center" wrapText="1"/>
    </xf>
    <xf numFmtId="0" fontId="6" fillId="0" borderId="2" xfId="1" applyFont="1" applyFill="1" applyBorder="1" applyAlignment="1">
      <alignment horizontal="center" wrapText="1"/>
    </xf>
    <xf numFmtId="0" fontId="6" fillId="3" borderId="2" xfId="1" applyFont="1" applyFill="1" applyBorder="1"/>
    <xf numFmtId="0" fontId="6" fillId="3" borderId="2" xfId="1" applyFont="1" applyFill="1" applyBorder="1" applyAlignment="1">
      <alignment horizontal="center" wrapText="1"/>
    </xf>
    <xf numFmtId="0" fontId="6" fillId="0" borderId="9" xfId="1" applyFont="1" applyFill="1" applyBorder="1"/>
    <xf numFmtId="0" fontId="7" fillId="0" borderId="0" xfId="1" applyFont="1" applyFill="1" applyBorder="1"/>
    <xf numFmtId="0" fontId="8" fillId="0" borderId="0" xfId="1" applyFont="1"/>
    <xf numFmtId="0" fontId="6" fillId="0" borderId="0" xfId="1" applyFont="1" applyAlignment="1">
      <alignment horizontal="center"/>
    </xf>
    <xf numFmtId="4" fontId="6" fillId="0" borderId="0" xfId="1" applyNumberFormat="1" applyFont="1"/>
    <xf numFmtId="4" fontId="6" fillId="0" borderId="2" xfId="1" applyNumberFormat="1" applyFont="1" applyBorder="1" applyAlignment="1">
      <alignment horizontal="center" wrapText="1"/>
    </xf>
    <xf numFmtId="0" fontId="6" fillId="3" borderId="2" xfId="1" applyFont="1" applyFill="1" applyBorder="1" applyAlignment="1">
      <alignment wrapText="1"/>
    </xf>
    <xf numFmtId="0" fontId="6" fillId="0" borderId="9" xfId="1" applyFont="1" applyFill="1" applyBorder="1" applyAlignment="1">
      <alignment horizontal="center"/>
    </xf>
    <xf numFmtId="4" fontId="6" fillId="0" borderId="9" xfId="1" applyNumberFormat="1" applyFont="1" applyFill="1" applyBorder="1" applyAlignment="1">
      <alignment horizontal="center"/>
    </xf>
    <xf numFmtId="0" fontId="6" fillId="0" borderId="0" xfId="1" applyFont="1" applyFill="1"/>
    <xf numFmtId="0" fontId="7" fillId="0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vertical="center" wrapText="1"/>
    </xf>
    <xf numFmtId="2" fontId="6" fillId="3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wrapText="1"/>
    </xf>
    <xf numFmtId="0" fontId="6" fillId="0" borderId="2" xfId="1" applyFont="1" applyFill="1" applyBorder="1" applyAlignment="1">
      <alignment horizontal="center" vertical="center" wrapText="1"/>
    </xf>
    <xf numFmtId="0" fontId="6" fillId="0" borderId="9" xfId="1" applyFont="1" applyFill="1" applyBorder="1" applyAlignment="1">
      <alignment wrapText="1"/>
    </xf>
    <xf numFmtId="0" fontId="6" fillId="0" borderId="9" xfId="1" applyFont="1" applyFill="1" applyBorder="1" applyAlignment="1">
      <alignment horizontal="center" vertical="center" wrapText="1"/>
    </xf>
    <xf numFmtId="4" fontId="4" fillId="0" borderId="0" xfId="1" applyNumberFormat="1"/>
    <xf numFmtId="166" fontId="6" fillId="0" borderId="0" xfId="1" applyNumberFormat="1" applyFont="1" applyFill="1"/>
    <xf numFmtId="165" fontId="6" fillId="0" borderId="0" xfId="1" applyNumberFormat="1" applyFont="1" applyFill="1"/>
    <xf numFmtId="0" fontId="7" fillId="0" borderId="2" xfId="1" applyFont="1" applyBorder="1" applyAlignment="1">
      <alignment horizontal="center" vertical="center" wrapText="1"/>
    </xf>
    <xf numFmtId="0" fontId="0" fillId="3" borderId="0" xfId="0" applyFill="1"/>
    <xf numFmtId="0" fontId="4" fillId="3" borderId="0" xfId="1" applyFill="1"/>
    <xf numFmtId="164" fontId="6" fillId="0" borderId="0" xfId="1" applyNumberFormat="1" applyFont="1"/>
    <xf numFmtId="0" fontId="6" fillId="0" borderId="0" xfId="6" applyFont="1"/>
    <xf numFmtId="9" fontId="7" fillId="4" borderId="0" xfId="3" applyNumberFormat="1" applyFont="1" applyFill="1"/>
    <xf numFmtId="4" fontId="7" fillId="4" borderId="2" xfId="3" applyNumberFormat="1" applyFont="1" applyFill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/>
    </xf>
    <xf numFmtId="0" fontId="14" fillId="3" borderId="0" xfId="0" applyFont="1" applyFill="1"/>
    <xf numFmtId="0" fontId="7" fillId="3" borderId="19" xfId="1" applyFont="1" applyFill="1" applyBorder="1" applyAlignment="1">
      <alignment wrapText="1"/>
    </xf>
    <xf numFmtId="4" fontId="6" fillId="3" borderId="17" xfId="1" applyNumberFormat="1" applyFont="1" applyFill="1" applyBorder="1" applyAlignment="1">
      <alignment horizontal="center"/>
    </xf>
    <xf numFmtId="0" fontId="7" fillId="3" borderId="19" xfId="1" applyFont="1" applyFill="1" applyBorder="1"/>
    <xf numFmtId="9" fontId="6" fillId="4" borderId="0" xfId="3" applyNumberFormat="1" applyFont="1" applyFill="1"/>
    <xf numFmtId="0" fontId="6" fillId="3" borderId="2" xfId="3" applyFont="1" applyFill="1" applyBorder="1"/>
    <xf numFmtId="0" fontId="7" fillId="3" borderId="2" xfId="3" applyFont="1" applyFill="1" applyBorder="1" applyAlignment="1">
      <alignment horizontal="right"/>
    </xf>
    <xf numFmtId="4" fontId="14" fillId="3" borderId="2" xfId="5" applyNumberFormat="1" applyFont="1" applyFill="1" applyBorder="1" applyAlignment="1">
      <alignment horizontal="center" vertical="center"/>
    </xf>
    <xf numFmtId="0" fontId="11" fillId="0" borderId="0" xfId="0" applyFont="1"/>
    <xf numFmtId="4" fontId="6" fillId="3" borderId="2" xfId="4" applyNumberFormat="1" applyFont="1" applyFill="1" applyBorder="1" applyAlignment="1">
      <alignment horizontal="center" vertical="center"/>
    </xf>
    <xf numFmtId="164" fontId="14" fillId="0" borderId="0" xfId="5" applyFont="1" applyBorder="1"/>
    <xf numFmtId="4" fontId="12" fillId="0" borderId="0" xfId="5" applyNumberFormat="1" applyFont="1" applyBorder="1" applyAlignment="1">
      <alignment horizontal="center" vertical="center"/>
    </xf>
    <xf numFmtId="0" fontId="7" fillId="2" borderId="19" xfId="3" applyFont="1" applyFill="1" applyBorder="1" applyAlignment="1">
      <alignment horizontal="left" wrapText="1"/>
    </xf>
    <xf numFmtId="0" fontId="8" fillId="2" borderId="17" xfId="3" applyFont="1" applyFill="1" applyBorder="1" applyAlignment="1">
      <alignment wrapText="1"/>
    </xf>
    <xf numFmtId="0" fontId="8" fillId="2" borderId="17" xfId="3" applyFont="1" applyFill="1" applyBorder="1" applyAlignment="1">
      <alignment horizontal="center" wrapText="1"/>
    </xf>
    <xf numFmtId="165" fontId="8" fillId="2" borderId="17" xfId="3" applyNumberFormat="1" applyFont="1" applyFill="1" applyBorder="1" applyAlignment="1">
      <alignment horizontal="center" wrapText="1"/>
    </xf>
    <xf numFmtId="165" fontId="8" fillId="2" borderId="18" xfId="3" applyNumberFormat="1" applyFont="1" applyFill="1" applyBorder="1" applyAlignment="1">
      <alignment horizontal="center" wrapText="1"/>
    </xf>
    <xf numFmtId="2" fontId="7" fillId="2" borderId="18" xfId="1" applyNumberFormat="1" applyFont="1" applyFill="1" applyBorder="1" applyAlignment="1">
      <alignment horizontal="center"/>
    </xf>
    <xf numFmtId="170" fontId="6" fillId="0" borderId="0" xfId="1" applyNumberFormat="1" applyFont="1"/>
    <xf numFmtId="170" fontId="14" fillId="0" borderId="0" xfId="5" applyNumberFormat="1" applyFont="1" applyBorder="1" applyAlignment="1">
      <alignment horizontal="center" vertical="center"/>
    </xf>
    <xf numFmtId="0" fontId="7" fillId="0" borderId="0" xfId="1" applyFont="1" applyBorder="1" applyAlignment="1">
      <alignment vertical="center" wrapText="1"/>
    </xf>
    <xf numFmtId="0" fontId="6" fillId="0" borderId="0" xfId="1" applyFont="1" applyBorder="1" applyAlignment="1">
      <alignment horizontal="center"/>
    </xf>
    <xf numFmtId="0" fontId="6" fillId="4" borderId="2" xfId="3" applyFont="1" applyFill="1" applyBorder="1" applyAlignment="1">
      <alignment horizontal="left" vertical="top" wrapText="1"/>
    </xf>
    <xf numFmtId="4" fontId="6" fillId="0" borderId="2" xfId="1" applyNumberFormat="1" applyFont="1" applyBorder="1" applyAlignment="1">
      <alignment horizontal="center" vertical="center"/>
    </xf>
    <xf numFmtId="0" fontId="14" fillId="0" borderId="0" xfId="0" applyFont="1" applyFill="1"/>
    <xf numFmtId="2" fontId="7" fillId="2" borderId="2" xfId="1" applyNumberFormat="1" applyFont="1" applyFill="1" applyBorder="1" applyAlignment="1">
      <alignment horizontal="center"/>
    </xf>
    <xf numFmtId="0" fontId="10" fillId="3" borderId="0" xfId="1" applyFont="1" applyFill="1"/>
    <xf numFmtId="165" fontId="6" fillId="3" borderId="9" xfId="3" applyNumberFormat="1" applyFont="1" applyFill="1" applyBorder="1" applyAlignment="1">
      <alignment horizontal="center" wrapText="1"/>
    </xf>
    <xf numFmtId="4" fontId="7" fillId="2" borderId="8" xfId="1" applyNumberFormat="1" applyFont="1" applyFill="1" applyBorder="1" applyAlignment="1">
      <alignment horizontal="center" vertical="center"/>
    </xf>
    <xf numFmtId="4" fontId="7" fillId="2" borderId="2" xfId="1" applyNumberFormat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3" fontId="7" fillId="3" borderId="2" xfId="3" applyNumberFormat="1" applyFont="1" applyFill="1" applyBorder="1" applyAlignment="1">
      <alignment horizontal="center" vertical="center"/>
    </xf>
    <xf numFmtId="4" fontId="7" fillId="3" borderId="2" xfId="3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left" vertical="center" wrapText="1"/>
    </xf>
    <xf numFmtId="0" fontId="7" fillId="3" borderId="2" xfId="2" applyFont="1" applyFill="1" applyBorder="1" applyAlignment="1">
      <alignment horizontal="right" vertical="center" wrapText="1"/>
    </xf>
    <xf numFmtId="166" fontId="7" fillId="3" borderId="2" xfId="1" applyNumberFormat="1" applyFont="1" applyFill="1" applyBorder="1" applyAlignment="1">
      <alignment horizontal="center" vertical="center"/>
    </xf>
    <xf numFmtId="165" fontId="7" fillId="3" borderId="2" xfId="1" applyNumberFormat="1" applyFont="1" applyFill="1" applyBorder="1" applyAlignment="1">
      <alignment horizontal="center" vertical="center"/>
    </xf>
    <xf numFmtId="0" fontId="7" fillId="3" borderId="0" xfId="1" applyFont="1" applyFill="1"/>
    <xf numFmtId="4" fontId="12" fillId="3" borderId="17" xfId="5" applyNumberFormat="1" applyFont="1" applyFill="1" applyBorder="1" applyAlignment="1">
      <alignment horizontal="center" vertical="center"/>
    </xf>
    <xf numFmtId="0" fontId="7" fillId="3" borderId="19" xfId="1" applyFont="1" applyFill="1" applyBorder="1" applyAlignment="1">
      <alignment horizontal="right"/>
    </xf>
    <xf numFmtId="170" fontId="12" fillId="3" borderId="17" xfId="5" applyNumberFormat="1" applyFont="1" applyFill="1" applyBorder="1" applyAlignment="1">
      <alignment horizontal="center" vertical="center"/>
    </xf>
    <xf numFmtId="164" fontId="12" fillId="3" borderId="17" xfId="5" applyFont="1" applyFill="1" applyBorder="1"/>
    <xf numFmtId="164" fontId="7" fillId="3" borderId="17" xfId="1" applyNumberFormat="1" applyFont="1" applyFill="1" applyBorder="1"/>
    <xf numFmtId="170" fontId="7" fillId="3" borderId="17" xfId="1" applyNumberFormat="1" applyFont="1" applyFill="1" applyBorder="1" applyAlignment="1">
      <alignment horizontal="center" vertical="center"/>
    </xf>
    <xf numFmtId="4" fontId="7" fillId="3" borderId="17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4" fontId="14" fillId="3" borderId="2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2" fillId="3" borderId="2" xfId="0" applyFont="1" applyFill="1" applyBorder="1"/>
    <xf numFmtId="4" fontId="12" fillId="3" borderId="2" xfId="0" applyNumberFormat="1" applyFont="1" applyFill="1" applyBorder="1" applyAlignment="1">
      <alignment horizontal="center" vertical="center"/>
    </xf>
    <xf numFmtId="170" fontId="7" fillId="3" borderId="18" xfId="4" applyNumberFormat="1" applyFont="1" applyFill="1" applyBorder="1" applyAlignment="1">
      <alignment horizontal="center" vertical="center" wrapText="1" readingOrder="1"/>
    </xf>
    <xf numFmtId="0" fontId="8" fillId="3" borderId="0" xfId="3" applyFont="1" applyFill="1"/>
    <xf numFmtId="0" fontId="6" fillId="3" borderId="0" xfId="3" applyFont="1" applyFill="1"/>
    <xf numFmtId="165" fontId="6" fillId="3" borderId="2" xfId="3" applyNumberFormat="1" applyFont="1" applyFill="1" applyBorder="1" applyAlignment="1">
      <alignment horizontal="center" vertical="center"/>
    </xf>
    <xf numFmtId="0" fontId="7" fillId="3" borderId="0" xfId="6" applyFont="1" applyFill="1"/>
    <xf numFmtId="0" fontId="6" fillId="3" borderId="0" xfId="6" applyFont="1" applyFill="1"/>
    <xf numFmtId="0" fontId="7" fillId="3" borderId="2" xfId="6" applyFont="1" applyFill="1" applyBorder="1" applyAlignment="1">
      <alignment horizontal="center" vertical="center" wrapText="1"/>
    </xf>
    <xf numFmtId="0" fontId="7" fillId="3" borderId="2" xfId="6" applyFont="1" applyFill="1" applyBorder="1" applyAlignment="1">
      <alignment horizontal="right"/>
    </xf>
    <xf numFmtId="4" fontId="7" fillId="3" borderId="2" xfId="8" applyNumberFormat="1" applyFont="1" applyFill="1" applyBorder="1" applyAlignment="1">
      <alignment horizontal="center" vertical="center"/>
    </xf>
    <xf numFmtId="4" fontId="7" fillId="3" borderId="2" xfId="8" applyNumberFormat="1" applyFont="1" applyFill="1" applyBorder="1" applyAlignment="1">
      <alignment horizontal="center"/>
    </xf>
    <xf numFmtId="0" fontId="7" fillId="3" borderId="2" xfId="10" applyFont="1" applyFill="1" applyBorder="1" applyAlignment="1">
      <alignment horizontal="center" vertical="center" wrapText="1"/>
    </xf>
    <xf numFmtId="2" fontId="7" fillId="3" borderId="2" xfId="3" applyNumberFormat="1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left" vertical="top" wrapText="1"/>
    </xf>
    <xf numFmtId="0" fontId="6" fillId="3" borderId="2" xfId="3" applyFont="1" applyFill="1" applyBorder="1" applyAlignment="1">
      <alignment horizontal="center" wrapText="1"/>
    </xf>
    <xf numFmtId="165" fontId="6" fillId="3" borderId="2" xfId="3" applyNumberFormat="1" applyFont="1" applyFill="1" applyBorder="1" applyAlignment="1">
      <alignment horizontal="center" wrapText="1"/>
    </xf>
    <xf numFmtId="0" fontId="6" fillId="3" borderId="9" xfId="3" applyFont="1" applyFill="1" applyBorder="1" applyAlignment="1">
      <alignment horizontal="left" vertical="top" wrapText="1"/>
    </xf>
    <xf numFmtId="0" fontId="6" fillId="3" borderId="9" xfId="3" applyFont="1" applyFill="1" applyBorder="1" applyAlignment="1">
      <alignment horizontal="center" wrapText="1"/>
    </xf>
    <xf numFmtId="0" fontId="6" fillId="2" borderId="0" xfId="1" applyFont="1" applyFill="1"/>
    <xf numFmtId="0" fontId="6" fillId="3" borderId="2" xfId="1" applyFont="1" applyFill="1" applyBorder="1" applyAlignment="1">
      <alignment horizontal="left" wrapText="1"/>
    </xf>
    <xf numFmtId="4" fontId="6" fillId="2" borderId="0" xfId="1" applyNumberFormat="1" applyFont="1" applyFill="1" applyAlignment="1">
      <alignment horizontal="center" vertical="center"/>
    </xf>
    <xf numFmtId="4" fontId="6" fillId="2" borderId="0" xfId="1" applyNumberFormat="1" applyFont="1" applyFill="1" applyAlignment="1">
      <alignment horizontal="center"/>
    </xf>
    <xf numFmtId="4" fontId="6" fillId="3" borderId="0" xfId="1" applyNumberFormat="1" applyFont="1" applyFill="1" applyBorder="1" applyAlignment="1">
      <alignment horizontal="center" vertical="center"/>
    </xf>
    <xf numFmtId="164" fontId="14" fillId="3" borderId="0" xfId="5" applyFont="1" applyFill="1" applyBorder="1"/>
    <xf numFmtId="0" fontId="7" fillId="3" borderId="0" xfId="1" applyFont="1" applyFill="1" applyBorder="1" applyAlignment="1">
      <alignment horizontal="right"/>
    </xf>
    <xf numFmtId="170" fontId="12" fillId="3" borderId="0" xfId="5" applyNumberFormat="1" applyFont="1" applyFill="1" applyBorder="1" applyAlignment="1">
      <alignment horizontal="center" vertical="center"/>
    </xf>
    <xf numFmtId="4" fontId="12" fillId="3" borderId="0" xfId="5" applyNumberFormat="1" applyFont="1" applyFill="1" applyBorder="1" applyAlignment="1">
      <alignment horizontal="center" vertical="center"/>
    </xf>
    <xf numFmtId="0" fontId="7" fillId="0" borderId="0" xfId="1" applyFont="1" applyAlignment="1">
      <alignment wrapText="1"/>
    </xf>
    <xf numFmtId="4" fontId="7" fillId="0" borderId="17" xfId="1" applyNumberFormat="1" applyFont="1" applyBorder="1" applyAlignment="1">
      <alignment horizontal="center"/>
    </xf>
    <xf numFmtId="4" fontId="7" fillId="3" borderId="2" xfId="1" applyNumberFormat="1" applyFont="1" applyFill="1" applyBorder="1" applyAlignment="1">
      <alignment horizontal="center"/>
    </xf>
    <xf numFmtId="170" fontId="7" fillId="3" borderId="17" xfId="4" applyNumberFormat="1" applyFont="1" applyFill="1" applyBorder="1" applyAlignment="1">
      <alignment horizontal="center" vertical="center" wrapText="1" readingOrder="1"/>
    </xf>
    <xf numFmtId="0" fontId="6" fillId="0" borderId="8" xfId="1" applyFont="1" applyBorder="1" applyAlignment="1">
      <alignment horizontal="left" vertical="center" wrapText="1"/>
    </xf>
    <xf numFmtId="0" fontId="7" fillId="3" borderId="0" xfId="3" applyFont="1" applyFill="1" applyBorder="1" applyAlignment="1">
      <alignment horizontal="center" vertical="center" wrapText="1"/>
    </xf>
    <xf numFmtId="165" fontId="6" fillId="3" borderId="0" xfId="3" applyNumberFormat="1" applyFont="1" applyFill="1" applyBorder="1" applyAlignment="1">
      <alignment horizontal="center" wrapText="1"/>
    </xf>
    <xf numFmtId="0" fontId="14" fillId="0" borderId="2" xfId="0" applyFont="1" applyBorder="1" applyAlignment="1">
      <alignment vertical="center" wrapText="1"/>
    </xf>
    <xf numFmtId="4" fontId="14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2" xfId="0" applyFont="1" applyBorder="1" applyAlignment="1">
      <alignment vertical="top" wrapText="1"/>
    </xf>
    <xf numFmtId="0" fontId="6" fillId="3" borderId="0" xfId="1" applyFont="1" applyFill="1" applyBorder="1" applyAlignment="1">
      <alignment horizontal="center" vertical="center"/>
    </xf>
    <xf numFmtId="170" fontId="14" fillId="3" borderId="2" xfId="5" applyNumberFormat="1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wrapText="1"/>
    </xf>
    <xf numFmtId="2" fontId="6" fillId="0" borderId="2" xfId="1" applyNumberFormat="1" applyFont="1" applyFill="1" applyBorder="1" applyAlignment="1">
      <alignment horizontal="center" wrapText="1"/>
    </xf>
    <xf numFmtId="0" fontId="6" fillId="0" borderId="2" xfId="1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 wrapText="1"/>
    </xf>
    <xf numFmtId="2" fontId="14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justify" vertical="center"/>
    </xf>
    <xf numFmtId="0" fontId="14" fillId="16" borderId="2" xfId="0" applyFont="1" applyFill="1" applyBorder="1" applyAlignment="1">
      <alignment horizontal="center" vertical="center" wrapText="1"/>
    </xf>
    <xf numFmtId="0" fontId="14" fillId="0" borderId="0" xfId="0" applyFont="1"/>
    <xf numFmtId="0" fontId="14" fillId="0" borderId="13" xfId="0" applyFont="1" applyBorder="1"/>
    <xf numFmtId="49" fontId="14" fillId="0" borderId="2" xfId="0" applyNumberFormat="1" applyFont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left" vertical="top" wrapText="1"/>
    </xf>
    <xf numFmtId="49" fontId="14" fillId="8" borderId="2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center" vertical="center" wrapText="1"/>
    </xf>
    <xf numFmtId="4" fontId="14" fillId="8" borderId="2" xfId="0" applyNumberFormat="1" applyFont="1" applyFill="1" applyBorder="1" applyAlignment="1">
      <alignment horizontal="center" vertical="center" wrapText="1"/>
    </xf>
    <xf numFmtId="0" fontId="14" fillId="8" borderId="2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171" fontId="14" fillId="0" borderId="2" xfId="0" applyNumberFormat="1" applyFont="1" applyBorder="1" applyAlignment="1">
      <alignment horizontal="center" vertical="center" wrapText="1"/>
    </xf>
    <xf numFmtId="171" fontId="14" fillId="8" borderId="2" xfId="0" applyNumberFormat="1" applyFont="1" applyFill="1" applyBorder="1" applyAlignment="1">
      <alignment horizontal="center" vertical="center" wrapText="1"/>
    </xf>
    <xf numFmtId="171" fontId="14" fillId="0" borderId="2" xfId="0" applyNumberFormat="1" applyFont="1" applyFill="1" applyBorder="1" applyAlignment="1">
      <alignment horizontal="center" vertical="center" wrapText="1"/>
    </xf>
    <xf numFmtId="0" fontId="14" fillId="16" borderId="2" xfId="0" applyFont="1" applyFill="1" applyBorder="1" applyAlignment="1">
      <alignment horizontal="left" vertical="center" wrapText="1"/>
    </xf>
    <xf numFmtId="4" fontId="14" fillId="16" borderId="2" xfId="0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4" fontId="14" fillId="0" borderId="0" xfId="0" applyNumberFormat="1" applyFont="1"/>
    <xf numFmtId="4" fontId="6" fillId="0" borderId="0" xfId="3" applyNumberFormat="1" applyFont="1" applyFill="1"/>
    <xf numFmtId="0" fontId="6" fillId="0" borderId="0" xfId="3" applyFont="1" applyFill="1"/>
    <xf numFmtId="4" fontId="14" fillId="0" borderId="0" xfId="0" applyNumberFormat="1" applyFont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3" borderId="9" xfId="1" applyFont="1" applyFill="1" applyBorder="1"/>
    <xf numFmtId="0" fontId="7" fillId="3" borderId="9" xfId="1" applyFont="1" applyFill="1" applyBorder="1" applyAlignment="1">
      <alignment horizontal="center" wrapText="1"/>
    </xf>
    <xf numFmtId="0" fontId="7" fillId="3" borderId="9" xfId="1" applyFont="1" applyFill="1" applyBorder="1" applyAlignment="1">
      <alignment horizontal="center"/>
    </xf>
    <xf numFmtId="4" fontId="7" fillId="3" borderId="9" xfId="1" applyNumberFormat="1" applyFont="1" applyFill="1" applyBorder="1" applyAlignment="1">
      <alignment horizontal="center"/>
    </xf>
    <xf numFmtId="4" fontId="6" fillId="3" borderId="2" xfId="1" applyNumberFormat="1" applyFont="1" applyFill="1" applyBorder="1" applyAlignment="1">
      <alignment horizontal="center" vertical="center"/>
    </xf>
    <xf numFmtId="165" fontId="6" fillId="3" borderId="9" xfId="1" applyNumberFormat="1" applyFont="1" applyFill="1" applyBorder="1" applyAlignment="1">
      <alignment horizontal="center" vertical="center"/>
    </xf>
    <xf numFmtId="4" fontId="14" fillId="3" borderId="9" xfId="5" applyNumberFormat="1" applyFont="1" applyFill="1" applyBorder="1" applyAlignment="1">
      <alignment horizontal="center" vertical="center"/>
    </xf>
    <xf numFmtId="4" fontId="6" fillId="3" borderId="9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/>
    </xf>
    <xf numFmtId="2" fontId="6" fillId="3" borderId="9" xfId="1" applyNumberFormat="1" applyFont="1" applyFill="1" applyBorder="1" applyAlignment="1">
      <alignment horizontal="center" vertical="center"/>
    </xf>
    <xf numFmtId="4" fontId="16" fillId="3" borderId="9" xfId="5" applyNumberFormat="1" applyFont="1" applyFill="1" applyBorder="1" applyAlignment="1">
      <alignment horizontal="center" vertical="center"/>
    </xf>
    <xf numFmtId="170" fontId="14" fillId="3" borderId="9" xfId="5" applyNumberFormat="1" applyFont="1" applyFill="1" applyBorder="1" applyAlignment="1">
      <alignment horizontal="center" vertical="center"/>
    </xf>
    <xf numFmtId="164" fontId="14" fillId="3" borderId="9" xfId="5" applyFont="1" applyFill="1" applyBorder="1" applyAlignment="1">
      <alignment horizontal="center"/>
    </xf>
    <xf numFmtId="4" fontId="6" fillId="3" borderId="9" xfId="5" applyNumberFormat="1" applyFont="1" applyFill="1" applyBorder="1" applyAlignment="1">
      <alignment horizontal="center" vertical="center"/>
    </xf>
    <xf numFmtId="0" fontId="6" fillId="3" borderId="2" xfId="2" applyFont="1" applyFill="1" applyBorder="1" applyAlignment="1">
      <alignment horizontal="left" vertical="center" wrapText="1"/>
    </xf>
    <xf numFmtId="4" fontId="14" fillId="3" borderId="9" xfId="5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4" fontId="6" fillId="3" borderId="9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1" fontId="6" fillId="3" borderId="9" xfId="1" applyNumberFormat="1" applyFont="1" applyFill="1" applyBorder="1" applyAlignment="1">
      <alignment horizontal="center" vertical="center"/>
    </xf>
    <xf numFmtId="2" fontId="6" fillId="3" borderId="9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3" borderId="0" xfId="1" applyFont="1" applyFill="1" applyAlignment="1">
      <alignment horizontal="center"/>
    </xf>
    <xf numFmtId="170" fontId="6" fillId="3" borderId="9" xfId="4" applyNumberFormat="1" applyFont="1" applyFill="1" applyBorder="1" applyAlignment="1">
      <alignment horizontal="center" vertical="center" wrapText="1"/>
    </xf>
    <xf numFmtId="3" fontId="6" fillId="3" borderId="9" xfId="1" applyNumberFormat="1" applyFont="1" applyFill="1" applyBorder="1" applyAlignment="1">
      <alignment horizontal="center" vertical="center"/>
    </xf>
    <xf numFmtId="170" fontId="6" fillId="3" borderId="9" xfId="4" applyNumberFormat="1" applyFont="1" applyFill="1" applyBorder="1" applyAlignment="1" applyProtection="1">
      <alignment horizontal="center" vertical="center" wrapText="1" readingOrder="1"/>
    </xf>
    <xf numFmtId="165" fontId="6" fillId="0" borderId="9" xfId="1" applyNumberFormat="1" applyFont="1" applyBorder="1" applyAlignment="1">
      <alignment horizontal="center" vertical="center"/>
    </xf>
    <xf numFmtId="0" fontId="7" fillId="3" borderId="2" xfId="1" applyFont="1" applyFill="1" applyBorder="1" applyAlignment="1">
      <alignment horizontal="right"/>
    </xf>
    <xf numFmtId="4" fontId="6" fillId="3" borderId="0" xfId="1" applyNumberFormat="1" applyFont="1" applyFill="1"/>
    <xf numFmtId="0" fontId="6" fillId="3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4" fontId="7" fillId="3" borderId="2" xfId="3" applyNumberFormat="1" applyFont="1" applyFill="1" applyBorder="1" applyAlignment="1">
      <alignment horizontal="center"/>
    </xf>
    <xf numFmtId="4" fontId="6" fillId="3" borderId="2" xfId="3" applyNumberFormat="1" applyFont="1" applyFill="1" applyBorder="1" applyAlignment="1">
      <alignment horizontal="center" vertical="center"/>
    </xf>
    <xf numFmtId="168" fontId="6" fillId="3" borderId="2" xfId="1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vertical="center" wrapText="1"/>
    </xf>
    <xf numFmtId="0" fontId="6" fillId="0" borderId="2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 wrapText="1"/>
    </xf>
    <xf numFmtId="4" fontId="7" fillId="3" borderId="2" xfId="13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wrapText="1"/>
    </xf>
    <xf numFmtId="2" fontId="6" fillId="0" borderId="9" xfId="1" applyNumberFormat="1" applyFont="1" applyFill="1" applyBorder="1" applyAlignment="1">
      <alignment horizontal="center"/>
    </xf>
    <xf numFmtId="0" fontId="6" fillId="9" borderId="8" xfId="3" applyFont="1" applyFill="1" applyBorder="1" applyAlignment="1">
      <alignment horizontal="center" vertical="center" wrapText="1"/>
    </xf>
    <xf numFmtId="0" fontId="6" fillId="10" borderId="8" xfId="3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0" fontId="6" fillId="3" borderId="0" xfId="1" applyFont="1" applyFill="1" applyBorder="1" applyAlignment="1">
      <alignment horizontal="left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2" fillId="0" borderId="0" xfId="0" applyFont="1"/>
    <xf numFmtId="0" fontId="6" fillId="12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4" fontId="6" fillId="6" borderId="2" xfId="0" applyNumberFormat="1" applyFont="1" applyFill="1" applyBorder="1" applyAlignment="1">
      <alignment horizontal="center" vertical="center"/>
    </xf>
    <xf numFmtId="4" fontId="6" fillId="12" borderId="2" xfId="0" applyNumberFormat="1" applyFont="1" applyFill="1" applyBorder="1" applyAlignment="1">
      <alignment horizontal="center" vertical="center"/>
    </xf>
    <xf numFmtId="4" fontId="6" fillId="13" borderId="2" xfId="0" applyNumberFormat="1" applyFont="1" applyFill="1" applyBorder="1" applyAlignment="1">
      <alignment horizontal="center" vertical="center"/>
    </xf>
    <xf numFmtId="4" fontId="6" fillId="13" borderId="2" xfId="11" applyNumberFormat="1" applyFont="1" applyFill="1" applyBorder="1" applyAlignment="1">
      <alignment horizontal="center" vertical="center"/>
    </xf>
    <xf numFmtId="4" fontId="6" fillId="14" borderId="2" xfId="0" applyNumberFormat="1" applyFont="1" applyFill="1" applyBorder="1" applyAlignment="1">
      <alignment horizontal="center" vertical="center"/>
    </xf>
    <xf numFmtId="4" fontId="6" fillId="15" borderId="2" xfId="0" applyNumberFormat="1" applyFont="1" applyFill="1" applyBorder="1" applyAlignment="1">
      <alignment horizontal="center" vertical="center"/>
    </xf>
    <xf numFmtId="4" fontId="6" fillId="11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0" fontId="7" fillId="5" borderId="2" xfId="0" applyNumberFormat="1" applyFont="1" applyFill="1" applyBorder="1" applyAlignment="1">
      <alignment horizontal="center" vertical="center" wrapText="1"/>
    </xf>
    <xf numFmtId="4" fontId="12" fillId="5" borderId="2" xfId="0" applyNumberFormat="1" applyFont="1" applyFill="1" applyBorder="1"/>
    <xf numFmtId="0" fontId="6" fillId="3" borderId="2" xfId="2" applyFont="1" applyFill="1" applyBorder="1" applyAlignment="1">
      <alignment horizontal="center" vertical="center" wrapText="1"/>
    </xf>
    <xf numFmtId="3" fontId="6" fillId="3" borderId="9" xfId="2" applyNumberFormat="1" applyFont="1" applyFill="1" applyBorder="1" applyAlignment="1">
      <alignment horizontal="center" vertical="center" wrapText="1"/>
    </xf>
    <xf numFmtId="3" fontId="6" fillId="3" borderId="2" xfId="2" applyNumberFormat="1" applyFont="1" applyFill="1" applyBorder="1" applyAlignment="1">
      <alignment horizontal="center" vertical="center" wrapText="1"/>
    </xf>
    <xf numFmtId="4" fontId="12" fillId="3" borderId="18" xfId="5" applyNumberFormat="1" applyFont="1" applyFill="1" applyBorder="1" applyAlignment="1">
      <alignment horizontal="center" vertical="center"/>
    </xf>
    <xf numFmtId="3" fontId="6" fillId="0" borderId="8" xfId="1" applyNumberFormat="1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14" fillId="3" borderId="8" xfId="0" applyFont="1" applyFill="1" applyBorder="1" applyAlignment="1">
      <alignment horizontal="center" vertical="center"/>
    </xf>
    <xf numFmtId="0" fontId="10" fillId="3" borderId="9" xfId="1" applyFont="1" applyFill="1" applyBorder="1" applyAlignment="1">
      <alignment horizontal="center" vertical="center" wrapText="1"/>
    </xf>
    <xf numFmtId="0" fontId="10" fillId="3" borderId="2" xfId="1" applyFont="1" applyFill="1" applyBorder="1" applyAlignment="1">
      <alignment horizontal="center" vertical="center" wrapText="1"/>
    </xf>
    <xf numFmtId="165" fontId="8" fillId="0" borderId="0" xfId="3" applyNumberFormat="1" applyFont="1" applyFill="1" applyBorder="1" applyAlignment="1">
      <alignment horizontal="center" wrapText="1"/>
    </xf>
    <xf numFmtId="0" fontId="6" fillId="0" borderId="2" xfId="14" applyFont="1" applyFill="1" applyBorder="1" applyAlignment="1">
      <alignment vertical="center" wrapText="1"/>
    </xf>
    <xf numFmtId="0" fontId="6" fillId="0" borderId="2" xfId="14" applyFont="1" applyBorder="1" applyAlignment="1">
      <alignment horizontal="left" vertical="center" wrapText="1"/>
    </xf>
    <xf numFmtId="0" fontId="6" fillId="0" borderId="2" xfId="14" applyFont="1" applyBorder="1" applyAlignment="1">
      <alignment vertical="center" wrapText="1"/>
    </xf>
    <xf numFmtId="0" fontId="6" fillId="0" borderId="2" xfId="14" applyFont="1" applyBorder="1" applyAlignment="1">
      <alignment vertical="center"/>
    </xf>
    <xf numFmtId="0" fontId="6" fillId="0" borderId="2" xfId="14" applyFont="1" applyBorder="1" applyAlignment="1">
      <alignment horizontal="left" vertical="top" wrapText="1"/>
    </xf>
    <xf numFmtId="0" fontId="7" fillId="0" borderId="2" xfId="14" applyFont="1" applyBorder="1"/>
    <xf numFmtId="0" fontId="7" fillId="0" borderId="2" xfId="14" applyFont="1" applyFill="1" applyBorder="1" applyAlignment="1"/>
    <xf numFmtId="2" fontId="6" fillId="0" borderId="2" xfId="14" applyNumberFormat="1" applyFont="1" applyFill="1" applyBorder="1" applyAlignment="1">
      <alignment horizontal="center" vertical="center" wrapText="1"/>
    </xf>
    <xf numFmtId="2" fontId="6" fillId="3" borderId="2" xfId="14" applyNumberFormat="1" applyFont="1" applyFill="1" applyBorder="1" applyAlignment="1">
      <alignment horizontal="center" vertical="center" wrapText="1"/>
    </xf>
    <xf numFmtId="0" fontId="7" fillId="0" borderId="2" xfId="14" applyFont="1" applyFill="1" applyBorder="1" applyAlignment="1">
      <alignment horizontal="center" vertical="center" wrapText="1"/>
    </xf>
    <xf numFmtId="0" fontId="5" fillId="0" borderId="0" xfId="14" applyFont="1"/>
    <xf numFmtId="0" fontId="17" fillId="0" borderId="2" xfId="14" applyFont="1" applyFill="1" applyBorder="1" applyAlignment="1">
      <alignment horizontal="center"/>
    </xf>
    <xf numFmtId="0" fontId="7" fillId="0" borderId="2" xfId="14" applyFont="1" applyFill="1" applyBorder="1" applyAlignment="1">
      <alignment horizontal="center"/>
    </xf>
    <xf numFmtId="0" fontId="5" fillId="0" borderId="0" xfId="14" applyFont="1" applyFill="1"/>
    <xf numFmtId="0" fontId="6" fillId="0" borderId="0" xfId="14" applyFont="1" applyBorder="1" applyAlignment="1">
      <alignment vertical="top" wrapText="1"/>
    </xf>
    <xf numFmtId="0" fontId="6" fillId="0" borderId="0" xfId="14" applyFont="1"/>
    <xf numFmtId="0" fontId="6" fillId="0" borderId="0" xfId="14" applyFont="1" applyAlignment="1">
      <alignment horizontal="left" wrapText="1"/>
    </xf>
    <xf numFmtId="1" fontId="6" fillId="0" borderId="2" xfId="14" applyNumberFormat="1" applyFont="1" applyFill="1" applyBorder="1" applyAlignment="1">
      <alignment horizontal="center" vertical="center" wrapText="1"/>
    </xf>
    <xf numFmtId="3" fontId="14" fillId="0" borderId="2" xfId="0" applyNumberFormat="1" applyFont="1" applyBorder="1" applyAlignment="1">
      <alignment horizontal="center" vertical="center"/>
    </xf>
    <xf numFmtId="4" fontId="6" fillId="0" borderId="2" xfId="1" applyNumberFormat="1" applyFont="1" applyFill="1" applyBorder="1" applyAlignment="1">
      <alignment horizontal="center" vertical="center"/>
    </xf>
    <xf numFmtId="0" fontId="6" fillId="4" borderId="0" xfId="3" applyFont="1" applyFill="1" applyBorder="1" applyAlignment="1">
      <alignment vertical="center" wrapText="1"/>
    </xf>
    <xf numFmtId="0" fontId="6" fillId="0" borderId="0" xfId="14" applyFont="1" applyFill="1"/>
    <xf numFmtId="3" fontId="6" fillId="0" borderId="0" xfId="14" applyNumberFormat="1" applyFont="1" applyFill="1" applyAlignment="1">
      <alignment horizontal="center" vertical="center"/>
    </xf>
    <xf numFmtId="9" fontId="7" fillId="4" borderId="0" xfId="3" applyNumberFormat="1" applyFont="1" applyFill="1" applyAlignment="1">
      <alignment horizontal="center" vertical="center"/>
    </xf>
    <xf numFmtId="4" fontId="6" fillId="0" borderId="9" xfId="1" applyNumberFormat="1" applyFont="1" applyFill="1" applyBorder="1" applyAlignment="1">
      <alignment horizontal="center" vertical="center"/>
    </xf>
    <xf numFmtId="9" fontId="7" fillId="4" borderId="0" xfId="3" applyNumberFormat="1" applyFont="1" applyFill="1" applyAlignment="1">
      <alignment horizontal="right" vertical="top"/>
    </xf>
    <xf numFmtId="4" fontId="14" fillId="0" borderId="2" xfId="0" applyNumberFormat="1" applyFont="1" applyBorder="1" applyAlignment="1">
      <alignment horizontal="center" vertical="center"/>
    </xf>
    <xf numFmtId="2" fontId="14" fillId="0" borderId="2" xfId="0" applyNumberFormat="1" applyFont="1" applyBorder="1" applyAlignment="1">
      <alignment horizontal="center" vertical="center" wrapText="1"/>
    </xf>
    <xf numFmtId="165" fontId="6" fillId="0" borderId="9" xfId="1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3" fontId="7" fillId="3" borderId="2" xfId="2" applyNumberFormat="1" applyFont="1" applyFill="1" applyBorder="1" applyAlignment="1">
      <alignment horizontal="center" vertical="center" wrapText="1"/>
    </xf>
    <xf numFmtId="3" fontId="7" fillId="3" borderId="16" xfId="1" applyNumberFormat="1" applyFont="1" applyFill="1" applyBorder="1" applyAlignment="1">
      <alignment horizontal="center" vertical="center"/>
    </xf>
    <xf numFmtId="3" fontId="7" fillId="3" borderId="17" xfId="2" applyNumberFormat="1" applyFont="1" applyFill="1" applyBorder="1" applyAlignment="1">
      <alignment horizontal="center" vertical="center" wrapText="1"/>
    </xf>
    <xf numFmtId="172" fontId="6" fillId="3" borderId="9" xfId="1" applyNumberFormat="1" applyFont="1" applyFill="1" applyBorder="1" applyAlignment="1">
      <alignment horizontal="center" vertical="center"/>
    </xf>
    <xf numFmtId="4" fontId="7" fillId="3" borderId="18" xfId="1" applyNumberFormat="1" applyFont="1" applyFill="1" applyBorder="1" applyAlignment="1">
      <alignment horizontal="center" vertical="center"/>
    </xf>
    <xf numFmtId="164" fontId="6" fillId="3" borderId="17" xfId="4" applyFont="1" applyFill="1" applyBorder="1" applyAlignment="1">
      <alignment horizontal="center" wrapText="1"/>
    </xf>
    <xf numFmtId="164" fontId="7" fillId="3" borderId="17" xfId="4" applyFont="1" applyFill="1" applyBorder="1" applyAlignment="1">
      <alignment wrapText="1"/>
    </xf>
    <xf numFmtId="0" fontId="7" fillId="0" borderId="19" xfId="9" applyFont="1" applyFill="1" applyBorder="1" applyAlignment="1">
      <alignment horizontal="left" vertical="center" wrapText="1"/>
    </xf>
    <xf numFmtId="165" fontId="7" fillId="0" borderId="17" xfId="1" applyNumberFormat="1" applyFont="1" applyBorder="1" applyAlignment="1">
      <alignment horizontal="center"/>
    </xf>
    <xf numFmtId="0" fontId="18" fillId="3" borderId="0" xfId="0" applyFont="1" applyFill="1"/>
    <xf numFmtId="0" fontId="19" fillId="9" borderId="2" xfId="0" applyFont="1" applyFill="1" applyBorder="1" applyAlignment="1">
      <alignment horizontal="center" vertical="center" wrapText="1"/>
    </xf>
    <xf numFmtId="0" fontId="14" fillId="9" borderId="2" xfId="0" applyFont="1" applyFill="1" applyBorder="1" applyAlignment="1">
      <alignment horizontal="center" vertical="center" wrapText="1"/>
    </xf>
    <xf numFmtId="4" fontId="14" fillId="9" borderId="2" xfId="0" applyNumberFormat="1" applyFont="1" applyFill="1" applyBorder="1" applyAlignment="1">
      <alignment horizontal="center" vertical="center"/>
    </xf>
    <xf numFmtId="0" fontId="14" fillId="9" borderId="2" xfId="0" applyFont="1" applyFill="1" applyBorder="1" applyAlignment="1">
      <alignment horizontal="center" vertical="center"/>
    </xf>
    <xf numFmtId="4" fontId="12" fillId="9" borderId="2" xfId="0" applyNumberFormat="1" applyFont="1" applyFill="1" applyBorder="1" applyAlignment="1">
      <alignment horizontal="center" vertical="center"/>
    </xf>
    <xf numFmtId="0" fontId="18" fillId="0" borderId="0" xfId="0" applyFont="1"/>
    <xf numFmtId="0" fontId="18" fillId="0" borderId="2" xfId="0" applyFont="1" applyBorder="1"/>
    <xf numFmtId="0" fontId="18" fillId="0" borderId="0" xfId="0" applyFont="1" applyBorder="1"/>
    <xf numFmtId="0" fontId="14" fillId="0" borderId="2" xfId="0" applyFont="1" applyBorder="1"/>
    <xf numFmtId="171" fontId="14" fillId="0" borderId="2" xfId="0" applyNumberFormat="1" applyFont="1" applyBorder="1" applyAlignment="1">
      <alignment horizontal="center" vertical="center"/>
    </xf>
    <xf numFmtId="3" fontId="14" fillId="0" borderId="2" xfId="0" applyNumberFormat="1" applyFont="1" applyBorder="1" applyAlignment="1">
      <alignment horizontal="center"/>
    </xf>
    <xf numFmtId="171" fontId="14" fillId="0" borderId="0" xfId="0" applyNumberFormat="1" applyFont="1" applyAlignment="1">
      <alignment horizontal="center" vertical="center"/>
    </xf>
    <xf numFmtId="0" fontId="14" fillId="9" borderId="2" xfId="0" applyFont="1" applyFill="1" applyBorder="1"/>
    <xf numFmtId="2" fontId="14" fillId="0" borderId="2" xfId="0" applyNumberFormat="1" applyFont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7" borderId="8" xfId="3" applyFont="1" applyFill="1" applyBorder="1" applyAlignment="1">
      <alignment horizontal="center" vertical="center" wrapText="1"/>
    </xf>
    <xf numFmtId="3" fontId="6" fillId="7" borderId="2" xfId="1" applyNumberFormat="1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left" vertical="center" wrapText="1"/>
    </xf>
    <xf numFmtId="0" fontId="7" fillId="4" borderId="2" xfId="3" applyFont="1" applyFill="1" applyBorder="1" applyAlignment="1">
      <alignment horizontal="right"/>
    </xf>
    <xf numFmtId="0" fontId="7" fillId="4" borderId="0" xfId="3" applyFont="1" applyFill="1" applyAlignment="1">
      <alignment vertical="center"/>
    </xf>
    <xf numFmtId="3" fontId="6" fillId="4" borderId="9" xfId="4" applyNumberFormat="1" applyFont="1" applyFill="1" applyBorder="1" applyAlignment="1">
      <alignment horizontal="center" vertical="center" wrapText="1"/>
    </xf>
    <xf numFmtId="3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3" fontId="14" fillId="0" borderId="2" xfId="0" applyNumberFormat="1" applyFont="1" applyFill="1" applyBorder="1" applyAlignment="1">
      <alignment vertical="top" wrapText="1"/>
    </xf>
    <xf numFmtId="0" fontId="14" fillId="0" borderId="2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left" vertical="top" wrapText="1"/>
    </xf>
    <xf numFmtId="0" fontId="14" fillId="0" borderId="0" xfId="0" applyFont="1" applyBorder="1"/>
    <xf numFmtId="0" fontId="14" fillId="0" borderId="2" xfId="0" applyFont="1" applyBorder="1" applyAlignment="1">
      <alignment horizontal="center" vertical="center" wrapText="1"/>
    </xf>
    <xf numFmtId="49" fontId="6" fillId="7" borderId="8" xfId="3" applyNumberFormat="1" applyFont="1" applyFill="1" applyBorder="1" applyAlignment="1">
      <alignment horizontal="center" vertical="center" wrapText="1"/>
    </xf>
    <xf numFmtId="0" fontId="14" fillId="3" borderId="0" xfId="0" applyFont="1" applyFill="1" applyBorder="1"/>
    <xf numFmtId="0" fontId="6" fillId="8" borderId="2" xfId="3" applyFont="1" applyFill="1" applyBorder="1" applyAlignment="1">
      <alignment horizontal="left" vertical="top" wrapText="1"/>
    </xf>
    <xf numFmtId="170" fontId="12" fillId="3" borderId="18" xfId="5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4" fontId="14" fillId="3" borderId="9" xfId="5" applyNumberFormat="1" applyFont="1" applyFill="1" applyBorder="1" applyAlignment="1">
      <alignment horizontal="center" vertical="center"/>
    </xf>
    <xf numFmtId="4" fontId="6" fillId="3" borderId="9" xfId="1" applyNumberFormat="1" applyFont="1" applyFill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7" fillId="3" borderId="2" xfId="1" applyFont="1" applyFill="1" applyBorder="1"/>
    <xf numFmtId="3" fontId="14" fillId="0" borderId="8" xfId="0" applyNumberFormat="1" applyFont="1" applyBorder="1" applyAlignment="1">
      <alignment horizontal="center" vertical="center"/>
    </xf>
    <xf numFmtId="0" fontId="6" fillId="3" borderId="9" xfId="0" applyFont="1" applyFill="1" applyBorder="1" applyAlignment="1">
      <alignment vertical="center" wrapText="1"/>
    </xf>
    <xf numFmtId="165" fontId="6" fillId="3" borderId="0" xfId="13" applyNumberFormat="1" applyFont="1" applyFill="1" applyBorder="1" applyAlignment="1">
      <alignment horizontal="center"/>
    </xf>
    <xf numFmtId="165" fontId="7" fillId="3" borderId="0" xfId="13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6" fillId="4" borderId="2" xfId="3" applyFont="1" applyFill="1" applyBorder="1" applyAlignment="1">
      <alignment horizontal="center" vertical="center" wrapText="1"/>
    </xf>
    <xf numFmtId="167" fontId="6" fillId="4" borderId="2" xfId="3" applyNumberFormat="1" applyFont="1" applyFill="1" applyBorder="1" applyAlignment="1">
      <alignment horizontal="center" vertical="center" wrapText="1"/>
    </xf>
    <xf numFmtId="9" fontId="6" fillId="3" borderId="2" xfId="1" applyNumberFormat="1" applyFont="1" applyFill="1" applyBorder="1" applyAlignment="1">
      <alignment horizontal="center" vertical="center"/>
    </xf>
    <xf numFmtId="4" fontId="6" fillId="0" borderId="2" xfId="14" applyNumberFormat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173" fontId="7" fillId="3" borderId="2" xfId="4" applyNumberFormat="1" applyFont="1" applyFill="1" applyBorder="1" applyAlignment="1">
      <alignment horizontal="center" vertical="center" wrapText="1" readingOrder="1"/>
    </xf>
    <xf numFmtId="4" fontId="6" fillId="4" borderId="0" xfId="3" applyNumberFormat="1" applyFont="1" applyFill="1"/>
    <xf numFmtId="0" fontId="14" fillId="0" borderId="9" xfId="0" applyFont="1" applyBorder="1" applyAlignment="1">
      <alignment horizontal="center" vertical="center" wrapText="1"/>
    </xf>
    <xf numFmtId="4" fontId="6" fillId="0" borderId="2" xfId="1" applyNumberFormat="1" applyFont="1" applyBorder="1"/>
    <xf numFmtId="4" fontId="7" fillId="0" borderId="2" xfId="1" applyNumberFormat="1" applyFont="1" applyBorder="1"/>
    <xf numFmtId="4" fontId="6" fillId="0" borderId="2" xfId="1" applyNumberFormat="1" applyFont="1" applyBorder="1" applyAlignment="1">
      <alignment horizontal="center" vertical="center" wrapText="1"/>
    </xf>
    <xf numFmtId="3" fontId="7" fillId="0" borderId="2" xfId="1" applyNumberFormat="1" applyFont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3" fontId="6" fillId="3" borderId="9" xfId="2" applyNumberFormat="1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 wrapText="1"/>
    </xf>
    <xf numFmtId="0" fontId="6" fillId="7" borderId="2" xfId="1" applyFont="1" applyFill="1" applyBorder="1" applyAlignment="1">
      <alignment horizontal="center" vertical="center" wrapText="1"/>
    </xf>
    <xf numFmtId="174" fontId="6" fillId="7" borderId="9" xfId="1" applyNumberFormat="1" applyFont="1" applyFill="1" applyBorder="1" applyAlignment="1">
      <alignment horizontal="center" vertical="center"/>
    </xf>
    <xf numFmtId="174" fontId="7" fillId="7" borderId="2" xfId="1" applyNumberFormat="1" applyFont="1" applyFill="1" applyBorder="1" applyAlignment="1">
      <alignment horizontal="center"/>
    </xf>
    <xf numFmtId="165" fontId="6" fillId="7" borderId="9" xfId="1" applyNumberFormat="1" applyFont="1" applyFill="1" applyBorder="1" applyAlignment="1">
      <alignment horizontal="center" vertical="center"/>
    </xf>
    <xf numFmtId="171" fontId="14" fillId="7" borderId="9" xfId="5" applyNumberFormat="1" applyFont="1" applyFill="1" applyBorder="1" applyAlignment="1">
      <alignment horizontal="center" vertical="center"/>
    </xf>
    <xf numFmtId="175" fontId="12" fillId="7" borderId="17" xfId="5" applyNumberFormat="1" applyFont="1" applyFill="1" applyBorder="1" applyAlignment="1">
      <alignment horizontal="center" vertical="center"/>
    </xf>
    <xf numFmtId="171" fontId="12" fillId="7" borderId="17" xfId="5" applyNumberFormat="1" applyFont="1" applyFill="1" applyBorder="1" applyAlignment="1">
      <alignment horizontal="center" vertical="center"/>
    </xf>
    <xf numFmtId="175" fontId="14" fillId="7" borderId="9" xfId="5" applyNumberFormat="1" applyFont="1" applyFill="1" applyBorder="1" applyAlignment="1">
      <alignment horizontal="center" vertical="center"/>
    </xf>
    <xf numFmtId="171" fontId="7" fillId="7" borderId="20" xfId="1" applyNumberFormat="1" applyFont="1" applyFill="1" applyBorder="1" applyAlignment="1">
      <alignment horizontal="center" vertical="center"/>
    </xf>
    <xf numFmtId="164" fontId="7" fillId="3" borderId="17" xfId="1" applyNumberFormat="1" applyFont="1" applyFill="1" applyBorder="1" applyAlignment="1">
      <alignment horizontal="center"/>
    </xf>
    <xf numFmtId="171" fontId="7" fillId="7" borderId="17" xfId="1" applyNumberFormat="1" applyFont="1" applyFill="1" applyBorder="1" applyAlignment="1">
      <alignment horizontal="center" vertical="center"/>
    </xf>
    <xf numFmtId="171" fontId="6" fillId="7" borderId="9" xfId="1" applyNumberFormat="1" applyFont="1" applyFill="1" applyBorder="1" applyAlignment="1">
      <alignment horizontal="center" vertical="center"/>
    </xf>
    <xf numFmtId="171" fontId="6" fillId="7" borderId="9" xfId="1" applyNumberFormat="1" applyFont="1" applyFill="1" applyBorder="1" applyAlignment="1">
      <alignment horizontal="center" vertical="center"/>
    </xf>
    <xf numFmtId="171" fontId="7" fillId="7" borderId="17" xfId="1" applyNumberFormat="1" applyFont="1" applyFill="1" applyBorder="1" applyAlignment="1">
      <alignment horizontal="center"/>
    </xf>
    <xf numFmtId="4" fontId="7" fillId="3" borderId="23" xfId="1" applyNumberFormat="1" applyFont="1" applyFill="1" applyBorder="1" applyAlignment="1">
      <alignment horizontal="center"/>
    </xf>
    <xf numFmtId="0" fontId="7" fillId="7" borderId="2" xfId="1" applyFont="1" applyFill="1" applyBorder="1" applyAlignment="1">
      <alignment horizontal="center" vertical="center" wrapText="1"/>
    </xf>
    <xf numFmtId="4" fontId="7" fillId="3" borderId="17" xfId="2" applyNumberFormat="1" applyFont="1" applyFill="1" applyBorder="1" applyAlignment="1">
      <alignment horizontal="center" vertical="center" wrapText="1"/>
    </xf>
    <xf numFmtId="171" fontId="7" fillId="7" borderId="17" xfId="2" applyNumberFormat="1" applyFont="1" applyFill="1" applyBorder="1" applyAlignment="1">
      <alignment horizontal="center" vertical="center" wrapText="1"/>
    </xf>
    <xf numFmtId="0" fontId="6" fillId="0" borderId="17" xfId="1" applyFont="1" applyBorder="1"/>
    <xf numFmtId="0" fontId="6" fillId="0" borderId="2" xfId="1" applyFont="1" applyBorder="1" applyAlignment="1">
      <alignment horizontal="center" vertical="center"/>
    </xf>
    <xf numFmtId="166" fontId="6" fillId="0" borderId="2" xfId="1" applyNumberFormat="1" applyFont="1" applyBorder="1" applyAlignment="1">
      <alignment horizontal="center" vertical="center"/>
    </xf>
    <xf numFmtId="171" fontId="6" fillId="7" borderId="2" xfId="1" applyNumberFormat="1" applyFont="1" applyFill="1" applyBorder="1" applyAlignment="1">
      <alignment horizontal="center" vertical="center"/>
    </xf>
    <xf numFmtId="171" fontId="6" fillId="7" borderId="17" xfId="1" applyNumberFormat="1" applyFont="1" applyFill="1" applyBorder="1" applyAlignment="1">
      <alignment horizontal="center" vertical="center"/>
    </xf>
    <xf numFmtId="170" fontId="6" fillId="3" borderId="2" xfId="4" applyNumberFormat="1" applyFont="1" applyFill="1" applyBorder="1" applyAlignment="1" applyProtection="1">
      <alignment horizontal="center" vertical="center" wrapText="1" readingOrder="1"/>
    </xf>
    <xf numFmtId="0" fontId="7" fillId="0" borderId="2" xfId="1" applyFont="1" applyBorder="1" applyAlignment="1">
      <alignment horizontal="center" vertical="center" wrapText="1"/>
    </xf>
    <xf numFmtId="3" fontId="6" fillId="3" borderId="0" xfId="1" applyNumberFormat="1" applyFont="1" applyFill="1" applyBorder="1"/>
    <xf numFmtId="2" fontId="6" fillId="0" borderId="0" xfId="1" applyNumberFormat="1" applyFont="1"/>
    <xf numFmtId="0" fontId="14" fillId="8" borderId="2" xfId="0" quotePrefix="1" applyFont="1" applyFill="1" applyBorder="1" applyAlignment="1">
      <alignment horizontal="left" vertical="top" wrapText="1"/>
    </xf>
    <xf numFmtId="49" fontId="6" fillId="7" borderId="8" xfId="3" quotePrefix="1" applyNumberFormat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7" fillId="0" borderId="0" xfId="1" quotePrefix="1" applyFont="1" applyAlignment="1">
      <alignment horizontal="left"/>
    </xf>
    <xf numFmtId="0" fontId="14" fillId="3" borderId="0" xfId="0" quotePrefix="1" applyFont="1" applyFill="1" applyAlignment="1">
      <alignment horizontal="left"/>
    </xf>
    <xf numFmtId="171" fontId="7" fillId="3" borderId="2" xfId="1" applyNumberFormat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7" fillId="3" borderId="0" xfId="1" applyFont="1" applyFill="1" applyAlignment="1">
      <alignment horizontal="left"/>
    </xf>
    <xf numFmtId="0" fontId="7" fillId="0" borderId="0" xfId="1" applyFont="1" applyFill="1" applyAlignment="1">
      <alignment horizontal="center"/>
    </xf>
    <xf numFmtId="0" fontId="7" fillId="3" borderId="2" xfId="1" applyFont="1" applyFill="1" applyBorder="1" applyAlignment="1">
      <alignment horizontal="center" vertical="center" wrapText="1"/>
    </xf>
    <xf numFmtId="4" fontId="14" fillId="3" borderId="9" xfId="5" applyNumberFormat="1" applyFont="1" applyFill="1" applyBorder="1" applyAlignment="1">
      <alignment horizontal="center" vertical="center"/>
    </xf>
    <xf numFmtId="0" fontId="0" fillId="0" borderId="0" xfId="0" applyFill="1"/>
    <xf numFmtId="0" fontId="7" fillId="0" borderId="9" xfId="1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wrapText="1"/>
    </xf>
    <xf numFmtId="3" fontId="7" fillId="0" borderId="17" xfId="2" applyNumberFormat="1" applyFont="1" applyFill="1" applyBorder="1" applyAlignment="1">
      <alignment horizontal="center" vertical="center" wrapText="1"/>
    </xf>
    <xf numFmtId="4" fontId="6" fillId="0" borderId="17" xfId="1" applyNumberFormat="1" applyFont="1" applyFill="1" applyBorder="1" applyAlignment="1">
      <alignment horizontal="center"/>
    </xf>
    <xf numFmtId="4" fontId="7" fillId="0" borderId="17" xfId="1" applyNumberFormat="1" applyFont="1" applyFill="1" applyBorder="1" applyAlignment="1">
      <alignment horizontal="center"/>
    </xf>
    <xf numFmtId="0" fontId="6" fillId="3" borderId="2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 wrapText="1"/>
    </xf>
    <xf numFmtId="0" fontId="12" fillId="3" borderId="0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top"/>
    </xf>
    <xf numFmtId="0" fontId="12" fillId="0" borderId="0" xfId="0" quotePrefix="1" applyFont="1" applyAlignment="1">
      <alignment horizontal="left"/>
    </xf>
    <xf numFmtId="170" fontId="14" fillId="3" borderId="4" xfId="5" applyNumberFormat="1" applyFont="1" applyFill="1" applyBorder="1" applyAlignment="1">
      <alignment horizontal="center" vertical="center"/>
    </xf>
    <xf numFmtId="170" fontId="12" fillId="3" borderId="22" xfId="5" applyNumberFormat="1" applyFont="1" applyFill="1" applyBorder="1" applyAlignment="1">
      <alignment horizontal="center" vertical="center"/>
    </xf>
    <xf numFmtId="170" fontId="7" fillId="3" borderId="22" xfId="1" applyNumberFormat="1" applyFont="1" applyFill="1" applyBorder="1" applyAlignment="1">
      <alignment horizontal="center"/>
    </xf>
    <xf numFmtId="4" fontId="12" fillId="3" borderId="22" xfId="5" applyNumberFormat="1" applyFont="1" applyFill="1" applyBorder="1" applyAlignment="1">
      <alignment horizontal="center" vertical="center"/>
    </xf>
    <xf numFmtId="4" fontId="14" fillId="3" borderId="9" xfId="5" applyNumberFormat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165" fontId="6" fillId="10" borderId="2" xfId="1" applyNumberFormat="1" applyFont="1" applyFill="1" applyBorder="1"/>
    <xf numFmtId="165" fontId="6" fillId="3" borderId="2" xfId="1" applyNumberFormat="1" applyFont="1" applyFill="1" applyBorder="1"/>
    <xf numFmtId="170" fontId="12" fillId="2" borderId="0" xfId="5" applyNumberFormat="1" applyFont="1" applyFill="1" applyBorder="1" applyAlignment="1">
      <alignment horizontal="center" vertical="center"/>
    </xf>
    <xf numFmtId="4" fontId="6" fillId="2" borderId="0" xfId="1" applyNumberFormat="1" applyFont="1" applyFill="1" applyAlignment="1">
      <alignment horizontal="left" vertical="center"/>
    </xf>
    <xf numFmtId="4" fontId="6" fillId="2" borderId="24" xfId="1" applyNumberFormat="1" applyFont="1" applyFill="1" applyBorder="1" applyAlignment="1">
      <alignment horizontal="center" vertical="center"/>
    </xf>
    <xf numFmtId="4" fontId="6" fillId="2" borderId="0" xfId="1" applyNumberFormat="1" applyFont="1" applyFill="1" applyBorder="1" applyAlignment="1">
      <alignment horizontal="center" vertical="center"/>
    </xf>
    <xf numFmtId="170" fontId="7" fillId="3" borderId="18" xfId="1" applyNumberFormat="1" applyFont="1" applyFill="1" applyBorder="1" applyAlignment="1">
      <alignment horizontal="center"/>
    </xf>
    <xf numFmtId="4" fontId="12" fillId="2" borderId="0" xfId="5" applyNumberFormat="1" applyFont="1" applyFill="1" applyBorder="1" applyAlignment="1">
      <alignment horizontal="center" vertical="center"/>
    </xf>
    <xf numFmtId="0" fontId="6" fillId="3" borderId="2" xfId="3" quotePrefix="1" applyFont="1" applyFill="1" applyBorder="1" applyAlignment="1">
      <alignment horizontal="left" vertical="center" wrapText="1"/>
    </xf>
    <xf numFmtId="0" fontId="7" fillId="3" borderId="0" xfId="6" quotePrefix="1" applyFont="1" applyFill="1" applyAlignment="1">
      <alignment horizontal="left"/>
    </xf>
    <xf numFmtId="4" fontId="6" fillId="0" borderId="2" xfId="1" applyNumberFormat="1" applyFont="1" applyFill="1" applyBorder="1" applyAlignment="1">
      <alignment horizontal="center" wrapText="1"/>
    </xf>
    <xf numFmtId="4" fontId="6" fillId="0" borderId="2" xfId="3" applyNumberFormat="1" applyFont="1" applyBorder="1" applyAlignment="1">
      <alignment horizontal="center" vertical="center" wrapText="1"/>
    </xf>
    <xf numFmtId="4" fontId="6" fillId="3" borderId="2" xfId="13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left" vertical="top" wrapText="1"/>
    </xf>
    <xf numFmtId="0" fontId="6" fillId="3" borderId="2" xfId="6" applyFont="1" applyFill="1" applyBorder="1" applyAlignment="1">
      <alignment horizontal="left" vertical="top" wrapText="1"/>
    </xf>
    <xf numFmtId="0" fontId="7" fillId="0" borderId="2" xfId="3" quotePrefix="1" applyFont="1" applyBorder="1" applyAlignment="1">
      <alignment horizontal="center" vertical="center" wrapText="1"/>
    </xf>
    <xf numFmtId="0" fontId="7" fillId="3" borderId="2" xfId="3" applyFont="1" applyFill="1" applyBorder="1" applyAlignment="1">
      <alignment horizontal="center" vertical="center"/>
    </xf>
    <xf numFmtId="0" fontId="6" fillId="9" borderId="8" xfId="3" quotePrefix="1" applyFont="1" applyFill="1" applyBorder="1" applyAlignment="1">
      <alignment horizontal="center" vertical="center" wrapText="1"/>
    </xf>
    <xf numFmtId="3" fontId="7" fillId="9" borderId="2" xfId="3" applyNumberFormat="1" applyFont="1" applyFill="1" applyBorder="1" applyAlignment="1">
      <alignment horizontal="center" vertical="center"/>
    </xf>
    <xf numFmtId="49" fontId="6" fillId="9" borderId="8" xfId="3" quotePrefix="1" applyNumberFormat="1" applyFont="1" applyFill="1" applyBorder="1" applyAlignment="1">
      <alignment horizontal="center" vertical="center" wrapText="1"/>
    </xf>
    <xf numFmtId="49" fontId="6" fillId="10" borderId="8" xfId="3" quotePrefix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7" fillId="4" borderId="0" xfId="3" quotePrefix="1" applyFont="1" applyFill="1" applyAlignment="1">
      <alignment horizontal="left"/>
    </xf>
    <xf numFmtId="0" fontId="12" fillId="3" borderId="2" xfId="3" quotePrefix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7" fillId="3" borderId="0" xfId="3" applyFont="1" applyFill="1" applyAlignment="1">
      <alignment vertical="center" wrapText="1"/>
    </xf>
    <xf numFmtId="0" fontId="7" fillId="3" borderId="0" xfId="3" applyFont="1" applyFill="1"/>
    <xf numFmtId="4" fontId="6" fillId="3" borderId="0" xfId="3" applyNumberFormat="1" applyFont="1" applyFill="1"/>
    <xf numFmtId="0" fontId="7" fillId="4" borderId="0" xfId="3" quotePrefix="1" applyFont="1" applyFill="1" applyAlignment="1">
      <alignment horizontal="left" vertical="center"/>
    </xf>
    <xf numFmtId="49" fontId="14" fillId="3" borderId="2" xfId="0" quotePrefix="1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wrapText="1"/>
    </xf>
    <xf numFmtId="49" fontId="14" fillId="8" borderId="2" xfId="0" quotePrefix="1" applyNumberFormat="1" applyFont="1" applyFill="1" applyBorder="1" applyAlignment="1">
      <alignment horizontal="center" vertical="center" wrapText="1"/>
    </xf>
    <xf numFmtId="0" fontId="14" fillId="8" borderId="2" xfId="0" quotePrefix="1" applyFont="1" applyFill="1" applyBorder="1" applyAlignment="1">
      <alignment horizontal="center" vertical="center" wrapText="1"/>
    </xf>
    <xf numFmtId="49" fontId="14" fillId="3" borderId="2" xfId="0" quotePrefix="1" applyNumberFormat="1" applyFont="1" applyFill="1" applyBorder="1" applyAlignment="1">
      <alignment horizontal="left" vertical="center" wrapText="1"/>
    </xf>
    <xf numFmtId="0" fontId="6" fillId="10" borderId="8" xfId="3" quotePrefix="1" applyFont="1" applyFill="1" applyBorder="1" applyAlignment="1">
      <alignment horizontal="center" vertical="center" wrapText="1"/>
    </xf>
    <xf numFmtId="0" fontId="14" fillId="9" borderId="2" xfId="0" quotePrefix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6" fillId="3" borderId="2" xfId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vertical="center" wrapText="1"/>
    </xf>
    <xf numFmtId="171" fontId="7" fillId="17" borderId="2" xfId="1" applyNumberFormat="1" applyFont="1" applyFill="1" applyBorder="1" applyAlignment="1">
      <alignment horizontal="center"/>
    </xf>
    <xf numFmtId="171" fontId="7" fillId="18" borderId="17" xfId="1" applyNumberFormat="1" applyFont="1" applyFill="1" applyBorder="1" applyAlignment="1">
      <alignment horizontal="center" vertical="center"/>
    </xf>
    <xf numFmtId="171" fontId="6" fillId="18" borderId="17" xfId="1" applyNumberFormat="1" applyFont="1" applyFill="1" applyBorder="1" applyAlignment="1">
      <alignment horizontal="center"/>
    </xf>
    <xf numFmtId="0" fontId="7" fillId="2" borderId="11" xfId="1" applyFont="1" applyFill="1" applyBorder="1" applyAlignment="1"/>
    <xf numFmtId="0" fontId="7" fillId="2" borderId="16" xfId="1" applyFont="1" applyFill="1" applyBorder="1" applyAlignment="1"/>
    <xf numFmtId="2" fontId="7" fillId="2" borderId="25" xfId="1" applyNumberFormat="1" applyFont="1" applyFill="1" applyBorder="1" applyAlignment="1">
      <alignment horizontal="center"/>
    </xf>
    <xf numFmtId="0" fontId="7" fillId="2" borderId="25" xfId="1" applyFont="1" applyFill="1" applyBorder="1" applyAlignment="1"/>
    <xf numFmtId="0" fontId="7" fillId="2" borderId="23" xfId="1" applyFont="1" applyFill="1" applyBorder="1" applyAlignment="1"/>
    <xf numFmtId="0" fontId="7" fillId="2" borderId="2" xfId="1" applyFont="1" applyFill="1" applyBorder="1" applyAlignment="1"/>
    <xf numFmtId="0" fontId="7" fillId="2" borderId="2" xfId="1" applyFont="1" applyFill="1" applyBorder="1" applyAlignment="1">
      <alignment horizontal="center" vertical="center"/>
    </xf>
    <xf numFmtId="0" fontId="7" fillId="0" borderId="2" xfId="1" quotePrefix="1" applyFont="1" applyFill="1" applyBorder="1" applyAlignment="1">
      <alignment horizontal="center" vertical="center" wrapText="1"/>
    </xf>
    <xf numFmtId="171" fontId="7" fillId="2" borderId="2" xfId="1" applyNumberFormat="1" applyFont="1" applyFill="1" applyBorder="1" applyAlignment="1">
      <alignment horizontal="center"/>
    </xf>
    <xf numFmtId="171" fontId="7" fillId="2" borderId="8" xfId="1" applyNumberFormat="1" applyFont="1" applyFill="1" applyBorder="1" applyAlignment="1">
      <alignment horizontal="center" vertical="center"/>
    </xf>
    <xf numFmtId="167" fontId="7" fillId="2" borderId="23" xfId="1" applyNumberFormat="1" applyFont="1" applyFill="1" applyBorder="1" applyAlignment="1">
      <alignment horizontal="center"/>
    </xf>
    <xf numFmtId="167" fontId="7" fillId="2" borderId="18" xfId="1" applyNumberFormat="1" applyFont="1" applyFill="1" applyBorder="1" applyAlignment="1">
      <alignment horizontal="center"/>
    </xf>
    <xf numFmtId="2" fontId="5" fillId="0" borderId="2" xfId="14" applyNumberFormat="1" applyFont="1" applyFill="1" applyBorder="1" applyAlignment="1">
      <alignment horizontal="center"/>
    </xf>
    <xf numFmtId="0" fontId="14" fillId="0" borderId="0" xfId="0" applyFont="1" applyAlignment="1">
      <alignment wrapText="1"/>
    </xf>
    <xf numFmtId="0" fontId="20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wrapText="1"/>
    </xf>
    <xf numFmtId="4" fontId="20" fillId="0" borderId="2" xfId="0" applyNumberFormat="1" applyFont="1" applyBorder="1" applyAlignment="1">
      <alignment horizontal="center" vertical="center"/>
    </xf>
    <xf numFmtId="4" fontId="14" fillId="0" borderId="0" xfId="0" applyNumberFormat="1" applyFont="1" applyFill="1"/>
    <xf numFmtId="4" fontId="20" fillId="0" borderId="0" xfId="0" applyNumberFormat="1" applyFont="1"/>
    <xf numFmtId="0" fontId="6" fillId="3" borderId="2" xfId="1" applyFont="1" applyFill="1" applyBorder="1" applyAlignment="1">
      <alignment horizontal="center" vertical="center" wrapText="1"/>
    </xf>
    <xf numFmtId="0" fontId="6" fillId="3" borderId="2" xfId="1" quotePrefix="1" applyFont="1" applyFill="1" applyBorder="1" applyAlignment="1">
      <alignment horizontal="left" wrapText="1"/>
    </xf>
    <xf numFmtId="4" fontId="7" fillId="3" borderId="22" xfId="1" applyNumberFormat="1" applyFont="1" applyFill="1" applyBorder="1" applyAlignment="1">
      <alignment horizontal="center"/>
    </xf>
    <xf numFmtId="0" fontId="6" fillId="3" borderId="15" xfId="1" applyFont="1" applyFill="1" applyBorder="1" applyAlignment="1">
      <alignment horizontal="center" vertical="center" wrapText="1"/>
    </xf>
    <xf numFmtId="176" fontId="7" fillId="7" borderId="17" xfId="1" applyNumberFormat="1" applyFont="1" applyFill="1" applyBorder="1" applyAlignment="1">
      <alignment horizontal="center"/>
    </xf>
    <xf numFmtId="167" fontId="6" fillId="7" borderId="9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left" vertical="top" wrapText="1"/>
    </xf>
    <xf numFmtId="0" fontId="14" fillId="13" borderId="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4" fontId="14" fillId="3" borderId="9" xfId="5" applyNumberFormat="1" applyFont="1" applyFill="1" applyBorder="1" applyAlignment="1">
      <alignment horizontal="center" vertical="center"/>
    </xf>
    <xf numFmtId="3" fontId="6" fillId="3" borderId="9" xfId="2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left" vertical="top" wrapText="1"/>
    </xf>
    <xf numFmtId="4" fontId="14" fillId="3" borderId="9" xfId="5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4" fontId="14" fillId="3" borderId="9" xfId="5" applyNumberFormat="1" applyFont="1" applyFill="1" applyBorder="1" applyAlignment="1">
      <alignment horizontal="center" vertical="center"/>
    </xf>
    <xf numFmtId="4" fontId="14" fillId="3" borderId="7" xfId="5" applyNumberFormat="1" applyFont="1" applyFill="1" applyBorder="1" applyAlignment="1">
      <alignment horizontal="center" vertical="center"/>
    </xf>
    <xf numFmtId="3" fontId="6" fillId="3" borderId="7" xfId="1" applyNumberFormat="1" applyFont="1" applyFill="1" applyBorder="1" applyAlignment="1">
      <alignment horizontal="center" vertical="center" wrapText="1"/>
    </xf>
    <xf numFmtId="170" fontId="14" fillId="3" borderId="9" xfId="5" applyNumberFormat="1" applyFont="1" applyFill="1" applyBorder="1" applyAlignment="1">
      <alignment horizontal="center" vertical="center" wrapText="1"/>
    </xf>
    <xf numFmtId="4" fontId="14" fillId="3" borderId="9" xfId="5" applyNumberFormat="1" applyFont="1" applyFill="1" applyBorder="1" applyAlignment="1">
      <alignment horizontal="center" vertical="center" wrapText="1"/>
    </xf>
    <xf numFmtId="175" fontId="14" fillId="7" borderId="9" xfId="5" applyNumberFormat="1" applyFont="1" applyFill="1" applyBorder="1" applyAlignment="1">
      <alignment horizontal="center" vertical="center" wrapText="1"/>
    </xf>
    <xf numFmtId="0" fontId="6" fillId="3" borderId="0" xfId="1" applyFont="1" applyFill="1" applyAlignment="1">
      <alignment wrapText="1"/>
    </xf>
    <xf numFmtId="0" fontId="6" fillId="3" borderId="21" xfId="1" applyFont="1" applyFill="1" applyBorder="1" applyAlignment="1">
      <alignment wrapText="1"/>
    </xf>
    <xf numFmtId="0" fontId="6" fillId="3" borderId="9" xfId="1" applyFont="1" applyFill="1" applyBorder="1" applyAlignment="1">
      <alignment horizontal="center" vertical="center"/>
    </xf>
    <xf numFmtId="0" fontId="6" fillId="0" borderId="8" xfId="1" applyFont="1" applyBorder="1" applyAlignment="1">
      <alignment horizontal="center" vertical="center" wrapText="1"/>
    </xf>
    <xf numFmtId="4" fontId="6" fillId="3" borderId="9" xfId="1" applyNumberFormat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4" fontId="6" fillId="3" borderId="9" xfId="1" applyNumberFormat="1" applyFont="1" applyFill="1" applyBorder="1" applyAlignment="1">
      <alignment horizontal="center" vertical="center"/>
    </xf>
    <xf numFmtId="172" fontId="6" fillId="3" borderId="2" xfId="1" applyNumberFormat="1" applyFont="1" applyFill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left" vertical="top" wrapText="1"/>
    </xf>
    <xf numFmtId="0" fontId="6" fillId="3" borderId="2" xfId="3" applyFont="1" applyFill="1" applyBorder="1" applyAlignment="1">
      <alignment horizontal="right" vertical="center" wrapText="1"/>
    </xf>
    <xf numFmtId="2" fontId="6" fillId="3" borderId="2" xfId="1" applyNumberFormat="1" applyFont="1" applyFill="1" applyBorder="1" applyAlignment="1">
      <alignment horizontal="center" vertical="center"/>
    </xf>
    <xf numFmtId="167" fontId="6" fillId="3" borderId="2" xfId="1" applyNumberFormat="1" applyFont="1" applyFill="1" applyBorder="1" applyAlignment="1">
      <alignment horizontal="center" vertical="center"/>
    </xf>
    <xf numFmtId="1" fontId="6" fillId="3" borderId="2" xfId="1" applyNumberFormat="1" applyFont="1" applyFill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4" fontId="6" fillId="3" borderId="9" xfId="2" applyNumberFormat="1" applyFont="1" applyFill="1" applyBorder="1" applyAlignment="1">
      <alignment horizontal="center" vertical="center" wrapText="1"/>
    </xf>
    <xf numFmtId="4" fontId="6" fillId="3" borderId="2" xfId="2" applyNumberFormat="1" applyFont="1" applyFill="1" applyBorder="1" applyAlignment="1">
      <alignment horizontal="center" vertical="center" wrapText="1"/>
    </xf>
    <xf numFmtId="2" fontId="12" fillId="3" borderId="2" xfId="3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vertical="top" wrapText="1"/>
    </xf>
    <xf numFmtId="0" fontId="6" fillId="3" borderId="2" xfId="2" applyFont="1" applyFill="1" applyBorder="1" applyAlignment="1">
      <alignment horizontal="left" vertical="center"/>
    </xf>
    <xf numFmtId="0" fontId="6" fillId="3" borderId="2" xfId="2" applyFont="1" applyFill="1" applyBorder="1" applyAlignment="1">
      <alignment vertical="center" wrapText="1"/>
    </xf>
    <xf numFmtId="0" fontId="6" fillId="3" borderId="2" xfId="2" applyFont="1" applyFill="1" applyBorder="1" applyAlignment="1">
      <alignment vertical="center"/>
    </xf>
    <xf numFmtId="3" fontId="6" fillId="3" borderId="9" xfId="2" applyNumberFormat="1" applyFont="1" applyFill="1" applyBorder="1" applyAlignment="1">
      <alignment horizontal="center" vertical="center"/>
    </xf>
    <xf numFmtId="177" fontId="7" fillId="3" borderId="17" xfId="2" applyNumberFormat="1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6" fillId="0" borderId="9" xfId="5" applyNumberFormat="1" applyFont="1" applyFill="1" applyBorder="1" applyAlignment="1">
      <alignment horizontal="center" vertical="center"/>
    </xf>
    <xf numFmtId="49" fontId="6" fillId="8" borderId="8" xfId="3" quotePrefix="1" applyNumberFormat="1" applyFont="1" applyFill="1" applyBorder="1" applyAlignment="1">
      <alignment horizontal="center" vertical="center" wrapText="1"/>
    </xf>
    <xf numFmtId="4" fontId="14" fillId="3" borderId="9" xfId="5" applyNumberFormat="1" applyFont="1" applyFill="1" applyBorder="1" applyAlignment="1">
      <alignment horizontal="center" vertical="center"/>
    </xf>
    <xf numFmtId="0" fontId="7" fillId="3" borderId="0" xfId="1" quotePrefix="1" applyFont="1" applyFill="1" applyAlignment="1">
      <alignment horizontal="left"/>
    </xf>
    <xf numFmtId="170" fontId="14" fillId="3" borderId="26" xfId="5" applyNumberFormat="1" applyFont="1" applyFill="1" applyBorder="1" applyAlignment="1">
      <alignment horizontal="center" vertical="center"/>
    </xf>
    <xf numFmtId="0" fontId="7" fillId="4" borderId="0" xfId="3" quotePrefix="1" applyFont="1" applyFill="1" applyAlignment="1">
      <alignment horizontal="center"/>
    </xf>
    <xf numFmtId="0" fontId="7" fillId="3" borderId="0" xfId="1" quotePrefix="1" applyFont="1" applyFill="1" applyBorder="1" applyAlignment="1">
      <alignment horizontal="left"/>
    </xf>
    <xf numFmtId="171" fontId="6" fillId="3" borderId="9" xfId="1" applyNumberFormat="1" applyFont="1" applyFill="1" applyBorder="1" applyAlignment="1">
      <alignment horizontal="center" vertical="center"/>
    </xf>
    <xf numFmtId="0" fontId="16" fillId="0" borderId="0" xfId="0" applyFont="1"/>
    <xf numFmtId="0" fontId="16" fillId="0" borderId="0" xfId="0" applyFont="1" applyAlignment="1">
      <alignment vertical="top"/>
    </xf>
    <xf numFmtId="4" fontId="6" fillId="3" borderId="9" xfId="1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/>
    <xf numFmtId="0" fontId="6" fillId="0" borderId="0" xfId="0" applyFont="1" applyFill="1"/>
    <xf numFmtId="0" fontId="14" fillId="3" borderId="0" xfId="0" quotePrefix="1" applyFont="1" applyFill="1" applyAlignment="1">
      <alignment horizontal="center"/>
    </xf>
    <xf numFmtId="0" fontId="14" fillId="3" borderId="0" xfId="0" applyFont="1" applyFill="1" applyAlignment="1">
      <alignment horizontal="center"/>
    </xf>
    <xf numFmtId="0" fontId="7" fillId="3" borderId="0" xfId="1" quotePrefix="1" applyFont="1" applyFill="1" applyBorder="1" applyAlignment="1"/>
    <xf numFmtId="3" fontId="16" fillId="9" borderId="2" xfId="1" applyNumberFormat="1" applyFont="1" applyFill="1" applyBorder="1" applyAlignment="1">
      <alignment horizontal="center" vertical="center" wrapText="1"/>
    </xf>
    <xf numFmtId="3" fontId="16" fillId="10" borderId="2" xfId="1" applyNumberFormat="1" applyFont="1" applyFill="1" applyBorder="1" applyAlignment="1">
      <alignment horizontal="center" vertical="center" wrapText="1"/>
    </xf>
    <xf numFmtId="0" fontId="16" fillId="3" borderId="2" xfId="1" applyFont="1" applyFill="1" applyBorder="1" applyAlignment="1">
      <alignment horizontal="center" vertical="center"/>
    </xf>
    <xf numFmtId="3" fontId="16" fillId="9" borderId="2" xfId="1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vertical="top" wrapText="1"/>
    </xf>
    <xf numFmtId="177" fontId="6" fillId="3" borderId="9" xfId="1" applyNumberFormat="1" applyFont="1" applyFill="1" applyBorder="1" applyAlignment="1">
      <alignment horizontal="center" vertical="center"/>
    </xf>
    <xf numFmtId="0" fontId="7" fillId="3" borderId="9" xfId="1" applyFont="1" applyFill="1" applyBorder="1" applyAlignment="1">
      <alignment horizontal="center" vertical="center" wrapText="1"/>
    </xf>
    <xf numFmtId="4" fontId="6" fillId="3" borderId="9" xfId="1" applyNumberFormat="1" applyFont="1" applyFill="1" applyBorder="1" applyAlignment="1">
      <alignment horizontal="center" vertical="center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/>
    </xf>
    <xf numFmtId="3" fontId="6" fillId="0" borderId="2" xfId="1" applyNumberFormat="1" applyFont="1" applyBorder="1" applyAlignment="1">
      <alignment horizontal="center" vertical="center" wrapText="1"/>
    </xf>
    <xf numFmtId="0" fontId="21" fillId="0" borderId="0" xfId="0" applyFont="1" applyFill="1"/>
    <xf numFmtId="0" fontId="22" fillId="0" borderId="0" xfId="0" applyFont="1"/>
    <xf numFmtId="3" fontId="6" fillId="3" borderId="2" xfId="12" applyNumberFormat="1" applyFont="1" applyFill="1" applyBorder="1" applyAlignment="1">
      <alignment horizontal="center" vertical="center"/>
    </xf>
    <xf numFmtId="166" fontId="6" fillId="3" borderId="2" xfId="13" applyNumberFormat="1" applyFont="1" applyFill="1" applyBorder="1" applyAlignment="1">
      <alignment horizontal="center" vertical="center"/>
    </xf>
    <xf numFmtId="4" fontId="16" fillId="3" borderId="2" xfId="3" applyNumberFormat="1" applyFont="1" applyFill="1" applyBorder="1" applyAlignment="1">
      <alignment horizontal="center" vertical="center"/>
    </xf>
    <xf numFmtId="168" fontId="16" fillId="3" borderId="2" xfId="13" applyNumberFormat="1" applyFont="1" applyFill="1" applyBorder="1" applyAlignment="1">
      <alignment horizontal="center" vertical="center"/>
    </xf>
    <xf numFmtId="166" fontId="16" fillId="3" borderId="2" xfId="13" applyNumberFormat="1" applyFont="1" applyFill="1" applyBorder="1" applyAlignment="1">
      <alignment horizontal="center" vertical="center"/>
    </xf>
    <xf numFmtId="3" fontId="16" fillId="3" borderId="8" xfId="12" applyNumberFormat="1" applyFont="1" applyFill="1" applyBorder="1" applyAlignment="1">
      <alignment horizontal="center" vertical="center"/>
    </xf>
    <xf numFmtId="0" fontId="16" fillId="3" borderId="8" xfId="12" applyFont="1" applyFill="1" applyBorder="1" applyAlignment="1">
      <alignment horizontal="center" vertical="center"/>
    </xf>
    <xf numFmtId="0" fontId="16" fillId="0" borderId="0" xfId="6" applyFont="1"/>
    <xf numFmtId="0" fontId="6" fillId="3" borderId="2" xfId="12" applyFont="1" applyFill="1" applyBorder="1" applyAlignment="1">
      <alignment horizontal="center" vertical="center"/>
    </xf>
    <xf numFmtId="171" fontId="6" fillId="7" borderId="9" xfId="5" applyNumberFormat="1" applyFont="1" applyFill="1" applyBorder="1" applyAlignment="1">
      <alignment horizontal="center" vertical="center"/>
    </xf>
    <xf numFmtId="4" fontId="6" fillId="3" borderId="2" xfId="5" applyNumberFormat="1" applyFont="1" applyFill="1" applyBorder="1" applyAlignment="1">
      <alignment horizontal="center" vertical="center"/>
    </xf>
    <xf numFmtId="166" fontId="6" fillId="3" borderId="2" xfId="6" applyNumberFormat="1" applyFont="1" applyFill="1" applyBorder="1" applyAlignment="1">
      <alignment horizontal="center" vertical="center"/>
    </xf>
    <xf numFmtId="2" fontId="7" fillId="0" borderId="2" xfId="14" applyNumberFormat="1" applyFont="1" applyFill="1" applyBorder="1" applyAlignment="1">
      <alignment horizontal="center"/>
    </xf>
    <xf numFmtId="3" fontId="6" fillId="19" borderId="2" xfId="12" applyNumberFormat="1" applyFont="1" applyFill="1" applyBorder="1" applyAlignment="1">
      <alignment horizontal="center" vertical="center"/>
    </xf>
    <xf numFmtId="0" fontId="6" fillId="19" borderId="2" xfId="12" applyFont="1" applyFill="1" applyBorder="1" applyAlignment="1">
      <alignment horizontal="center" vertical="center"/>
    </xf>
    <xf numFmtId="4" fontId="6" fillId="19" borderId="2" xfId="3" applyNumberFormat="1" applyFont="1" applyFill="1" applyBorder="1" applyAlignment="1">
      <alignment horizontal="center" vertical="center"/>
    </xf>
    <xf numFmtId="168" fontId="6" fillId="19" borderId="2" xfId="13" applyNumberFormat="1" applyFont="1" applyFill="1" applyBorder="1" applyAlignment="1">
      <alignment horizontal="center" vertical="center"/>
    </xf>
    <xf numFmtId="3" fontId="6" fillId="3" borderId="2" xfId="1" applyNumberFormat="1" applyFont="1" applyFill="1" applyBorder="1" applyAlignment="1">
      <alignment horizontal="center" vertical="center" wrapText="1"/>
    </xf>
    <xf numFmtId="4" fontId="6" fillId="3" borderId="2" xfId="1" applyNumberFormat="1" applyFont="1" applyFill="1" applyBorder="1" applyAlignment="1">
      <alignment horizontal="center"/>
    </xf>
    <xf numFmtId="0" fontId="7" fillId="3" borderId="2" xfId="1" applyFont="1" applyFill="1" applyBorder="1" applyAlignment="1">
      <alignment horizontal="center" vertical="center" wrapText="1"/>
    </xf>
    <xf numFmtId="4" fontId="6" fillId="3" borderId="9" xfId="1" applyNumberFormat="1" applyFont="1" applyFill="1" applyBorder="1" applyAlignment="1">
      <alignment horizontal="center" vertical="center"/>
    </xf>
    <xf numFmtId="4" fontId="6" fillId="3" borderId="9" xfId="5" applyNumberFormat="1" applyFont="1" applyFill="1" applyBorder="1" applyAlignment="1">
      <alignment horizontal="center" vertical="center"/>
    </xf>
    <xf numFmtId="3" fontId="6" fillId="3" borderId="2" xfId="3" applyNumberFormat="1" applyFont="1" applyFill="1" applyBorder="1" applyAlignment="1">
      <alignment horizontal="center" vertical="center"/>
    </xf>
    <xf numFmtId="0" fontId="6" fillId="3" borderId="2" xfId="3" applyFont="1" applyFill="1" applyBorder="1" applyAlignment="1">
      <alignment horizontal="center" vertical="center"/>
    </xf>
    <xf numFmtId="0" fontId="16" fillId="3" borderId="0" xfId="6" applyFont="1" applyFill="1"/>
    <xf numFmtId="0" fontId="6" fillId="3" borderId="9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left" vertical="top" wrapText="1"/>
    </xf>
    <xf numFmtId="3" fontId="6" fillId="3" borderId="9" xfId="1" applyNumberFormat="1" applyFont="1" applyFill="1" applyBorder="1" applyAlignment="1">
      <alignment horizontal="center" vertical="center"/>
    </xf>
    <xf numFmtId="171" fontId="6" fillId="17" borderId="9" xfId="1" applyNumberFormat="1" applyFont="1" applyFill="1" applyBorder="1" applyAlignment="1">
      <alignment horizontal="center" vertical="center"/>
    </xf>
    <xf numFmtId="171" fontId="6" fillId="3" borderId="9" xfId="1" applyNumberFormat="1" applyFont="1" applyFill="1" applyBorder="1" applyAlignment="1">
      <alignment horizontal="center" vertical="center"/>
    </xf>
    <xf numFmtId="4" fontId="6" fillId="3" borderId="9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171" fontId="6" fillId="18" borderId="9" xfId="1" applyNumberFormat="1" applyFont="1" applyFill="1" applyBorder="1" applyAlignment="1">
      <alignment horizontal="center" vertical="center"/>
    </xf>
    <xf numFmtId="4" fontId="6" fillId="3" borderId="9" xfId="5" applyNumberFormat="1" applyFont="1" applyFill="1" applyBorder="1" applyAlignment="1">
      <alignment horizontal="center" vertical="center"/>
    </xf>
    <xf numFmtId="166" fontId="6" fillId="3" borderId="2" xfId="6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171" fontId="6" fillId="17" borderId="9" xfId="1" applyNumberFormat="1" applyFont="1" applyFill="1" applyBorder="1" applyAlignment="1">
      <alignment horizontal="center" vertical="center"/>
    </xf>
    <xf numFmtId="3" fontId="6" fillId="3" borderId="9" xfId="1" applyNumberFormat="1" applyFont="1" applyFill="1" applyBorder="1" applyAlignment="1">
      <alignment horizontal="center" vertical="center"/>
    </xf>
    <xf numFmtId="171" fontId="6" fillId="3" borderId="9" xfId="1" applyNumberFormat="1" applyFont="1" applyFill="1" applyBorder="1" applyAlignment="1">
      <alignment horizontal="center" vertical="center"/>
    </xf>
    <xf numFmtId="3" fontId="6" fillId="3" borderId="9" xfId="1" applyNumberFormat="1" applyFont="1" applyFill="1" applyBorder="1" applyAlignment="1">
      <alignment horizontal="center" vertical="center" wrapText="1"/>
    </xf>
    <xf numFmtId="3" fontId="6" fillId="3" borderId="8" xfId="1" applyNumberFormat="1" applyFont="1" applyFill="1" applyBorder="1" applyAlignment="1">
      <alignment horizontal="center" vertical="center" wrapText="1"/>
    </xf>
    <xf numFmtId="4" fontId="6" fillId="3" borderId="9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171" fontId="6" fillId="18" borderId="9" xfId="1" applyNumberFormat="1" applyFont="1" applyFill="1" applyBorder="1" applyAlignment="1">
      <alignment horizontal="center" vertical="center"/>
    </xf>
    <xf numFmtId="4" fontId="6" fillId="3" borderId="9" xfId="5" applyNumberFormat="1" applyFont="1" applyFill="1" applyBorder="1" applyAlignment="1">
      <alignment horizontal="center" vertical="center"/>
    </xf>
    <xf numFmtId="3" fontId="6" fillId="19" borderId="2" xfId="3" applyNumberFormat="1" applyFont="1" applyFill="1" applyBorder="1" applyAlignment="1">
      <alignment horizontal="center" vertical="center"/>
    </xf>
    <xf numFmtId="0" fontId="6" fillId="19" borderId="2" xfId="3" applyFont="1" applyFill="1" applyBorder="1" applyAlignment="1">
      <alignment horizontal="center" vertical="center" wrapText="1"/>
    </xf>
    <xf numFmtId="165" fontId="6" fillId="19" borderId="2" xfId="3" applyNumberFormat="1" applyFont="1" applyFill="1" applyBorder="1" applyAlignment="1">
      <alignment horizontal="center" vertical="center"/>
    </xf>
    <xf numFmtId="166" fontId="7" fillId="0" borderId="2" xfId="6" applyNumberFormat="1" applyFont="1" applyBorder="1" applyAlignment="1">
      <alignment horizontal="center" vertical="center"/>
    </xf>
    <xf numFmtId="0" fontId="23" fillId="0" borderId="0" xfId="15"/>
    <xf numFmtId="4" fontId="6" fillId="0" borderId="2" xfId="0" applyNumberFormat="1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3" fontId="6" fillId="3" borderId="9" xfId="1" applyNumberFormat="1" applyFont="1" applyFill="1" applyBorder="1" applyAlignment="1">
      <alignment horizontal="center" vertical="center"/>
    </xf>
    <xf numFmtId="171" fontId="6" fillId="17" borderId="9" xfId="1" applyNumberFormat="1" applyFont="1" applyFill="1" applyBorder="1" applyAlignment="1">
      <alignment horizontal="center" vertical="center"/>
    </xf>
    <xf numFmtId="171" fontId="6" fillId="3" borderId="9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171" fontId="6" fillId="18" borderId="9" xfId="1" applyNumberFormat="1" applyFont="1" applyFill="1" applyBorder="1" applyAlignment="1">
      <alignment horizontal="center" vertical="center"/>
    </xf>
    <xf numFmtId="4" fontId="16" fillId="3" borderId="9" xfId="5" applyNumberFormat="1" applyFont="1" applyFill="1" applyBorder="1" applyAlignment="1">
      <alignment horizontal="center" vertical="center"/>
    </xf>
    <xf numFmtId="4" fontId="6" fillId="3" borderId="9" xfId="1" applyNumberFormat="1" applyFont="1" applyFill="1" applyBorder="1" applyAlignment="1">
      <alignment horizontal="center" vertical="center"/>
    </xf>
    <xf numFmtId="4" fontId="6" fillId="3" borderId="9" xfId="5" applyNumberFormat="1" applyFont="1" applyFill="1" applyBorder="1" applyAlignment="1">
      <alignment horizontal="center" vertical="center"/>
    </xf>
    <xf numFmtId="3" fontId="6" fillId="3" borderId="9" xfId="1" applyNumberFormat="1" applyFont="1" applyFill="1" applyBorder="1" applyAlignment="1">
      <alignment horizontal="center" vertical="center" wrapText="1"/>
    </xf>
    <xf numFmtId="3" fontId="6" fillId="3" borderId="8" xfId="1" applyNumberFormat="1" applyFont="1" applyFill="1" applyBorder="1" applyAlignment="1">
      <alignment horizontal="center" vertical="center" wrapText="1"/>
    </xf>
    <xf numFmtId="171" fontId="6" fillId="7" borderId="9" xfId="1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4" fontId="6" fillId="3" borderId="2" xfId="0" applyNumberFormat="1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0" fontId="6" fillId="3" borderId="0" xfId="0" applyFont="1" applyFill="1"/>
    <xf numFmtId="0" fontId="4" fillId="3" borderId="0" xfId="1" applyFont="1" applyFill="1"/>
    <xf numFmtId="0" fontId="6" fillId="3" borderId="0" xfId="0" applyFont="1" applyFill="1" applyAlignment="1">
      <alignment horizontal="center"/>
    </xf>
    <xf numFmtId="171" fontId="6" fillId="3" borderId="0" xfId="0" applyNumberFormat="1" applyFont="1" applyFill="1"/>
    <xf numFmtId="4" fontId="6" fillId="3" borderId="2" xfId="2" applyNumberFormat="1" applyFont="1" applyFill="1" applyBorder="1" applyAlignment="1">
      <alignment horizontal="center" vertical="center"/>
    </xf>
    <xf numFmtId="0" fontId="6" fillId="18" borderId="2" xfId="0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3" fontId="6" fillId="3" borderId="9" xfId="1" applyNumberFormat="1" applyFont="1" applyFill="1" applyBorder="1" applyAlignment="1">
      <alignment horizontal="center" vertical="center"/>
    </xf>
    <xf numFmtId="3" fontId="6" fillId="3" borderId="9" xfId="1" applyNumberFormat="1" applyFont="1" applyFill="1" applyBorder="1" applyAlignment="1">
      <alignment horizontal="center" vertical="center" wrapText="1"/>
    </xf>
    <xf numFmtId="171" fontId="6" fillId="7" borderId="9" xfId="1" applyNumberFormat="1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left" vertical="center" wrapText="1"/>
    </xf>
    <xf numFmtId="4" fontId="6" fillId="3" borderId="9" xfId="0" applyNumberFormat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wrapText="1"/>
    </xf>
    <xf numFmtId="2" fontId="6" fillId="3" borderId="2" xfId="1" applyNumberFormat="1" applyFont="1" applyFill="1" applyBorder="1" applyAlignment="1">
      <alignment wrapText="1"/>
    </xf>
    <xf numFmtId="170" fontId="6" fillId="3" borderId="2" xfId="1" applyNumberFormat="1" applyFont="1" applyFill="1" applyBorder="1" applyAlignment="1">
      <alignment horizontal="center" vertical="center"/>
    </xf>
    <xf numFmtId="4" fontId="6" fillId="2" borderId="2" xfId="2" applyNumberFormat="1" applyFont="1" applyFill="1" applyBorder="1" applyAlignment="1">
      <alignment horizontal="center" vertical="center" wrapText="1"/>
    </xf>
    <xf numFmtId="4" fontId="16" fillId="3" borderId="2" xfId="5" applyNumberFormat="1" applyFont="1" applyFill="1" applyBorder="1" applyAlignment="1">
      <alignment horizontal="center" vertical="center"/>
    </xf>
    <xf numFmtId="4" fontId="16" fillId="3" borderId="9" xfId="5" applyNumberFormat="1" applyFont="1" applyFill="1" applyBorder="1" applyAlignment="1">
      <alignment horizontal="center" vertical="center" wrapText="1"/>
    </xf>
    <xf numFmtId="164" fontId="16" fillId="3" borderId="2" xfId="5" applyFont="1" applyFill="1" applyBorder="1" applyAlignment="1">
      <alignment horizontal="center" vertical="center"/>
    </xf>
    <xf numFmtId="0" fontId="6" fillId="3" borderId="9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4" fontId="6" fillId="3" borderId="9" xfId="1" applyNumberFormat="1" applyFont="1" applyFill="1" applyBorder="1" applyAlignment="1">
      <alignment horizontal="center" vertical="center"/>
    </xf>
    <xf numFmtId="3" fontId="6" fillId="3" borderId="9" xfId="1" applyNumberFormat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left"/>
    </xf>
    <xf numFmtId="4" fontId="6" fillId="3" borderId="9" xfId="5" applyNumberFormat="1" applyFont="1" applyFill="1" applyBorder="1" applyAlignment="1">
      <alignment horizontal="center" vertical="center"/>
    </xf>
    <xf numFmtId="4" fontId="14" fillId="3" borderId="9" xfId="5" applyNumberFormat="1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4" fontId="6" fillId="3" borderId="9" xfId="1" applyNumberFormat="1" applyFont="1" applyFill="1" applyBorder="1" applyAlignment="1">
      <alignment horizontal="center" vertical="center"/>
    </xf>
    <xf numFmtId="3" fontId="6" fillId="3" borderId="9" xfId="1" applyNumberFormat="1" applyFont="1" applyFill="1" applyBorder="1" applyAlignment="1">
      <alignment horizontal="center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171" fontId="6" fillId="18" borderId="9" xfId="1" applyNumberFormat="1" applyFont="1" applyFill="1" applyBorder="1" applyAlignment="1">
      <alignment horizontal="center" vertical="center"/>
    </xf>
    <xf numFmtId="4" fontId="6" fillId="3" borderId="9" xfId="5" applyNumberFormat="1" applyFont="1" applyFill="1" applyBorder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horizontal="center"/>
    </xf>
    <xf numFmtId="0" fontId="12" fillId="3" borderId="0" xfId="0" quotePrefix="1" applyFont="1" applyFill="1" applyAlignment="1">
      <alignment horizontal="center"/>
    </xf>
    <xf numFmtId="4" fontId="6" fillId="3" borderId="0" xfId="1" applyNumberFormat="1" applyFont="1" applyFill="1" applyAlignment="1">
      <alignment horizontal="center" vertical="center"/>
    </xf>
    <xf numFmtId="0" fontId="7" fillId="0" borderId="13" xfId="1" applyFont="1" applyBorder="1"/>
    <xf numFmtId="0" fontId="6" fillId="0" borderId="13" xfId="1" applyFont="1" applyBorder="1"/>
    <xf numFmtId="0" fontId="6" fillId="0" borderId="14" xfId="1" applyFont="1" applyBorder="1"/>
    <xf numFmtId="0" fontId="6" fillId="0" borderId="0" xfId="1" applyFont="1" applyBorder="1" applyAlignment="1">
      <alignment vertical="center"/>
    </xf>
    <xf numFmtId="0" fontId="7" fillId="0" borderId="14" xfId="1" applyFont="1" applyBorder="1" applyAlignment="1">
      <alignment vertical="center" wrapText="1"/>
    </xf>
    <xf numFmtId="0" fontId="7" fillId="0" borderId="10" xfId="1" applyFont="1" applyBorder="1" applyAlignment="1">
      <alignment vertical="center" wrapText="1"/>
    </xf>
    <xf numFmtId="0" fontId="6" fillId="0" borderId="10" xfId="1" applyFont="1" applyBorder="1"/>
    <xf numFmtId="166" fontId="6" fillId="3" borderId="9" xfId="1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/>
    </xf>
    <xf numFmtId="0" fontId="21" fillId="3" borderId="0" xfId="0" applyFont="1" applyFill="1"/>
    <xf numFmtId="177" fontId="6" fillId="3" borderId="2" xfId="2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171" fontId="6" fillId="3" borderId="9" xfId="1" applyNumberFormat="1" applyFont="1" applyFill="1" applyBorder="1" applyAlignment="1">
      <alignment horizontal="center" vertical="center"/>
    </xf>
    <xf numFmtId="3" fontId="6" fillId="3" borderId="8" xfId="1" applyNumberFormat="1" applyFont="1" applyFill="1" applyBorder="1" applyAlignment="1">
      <alignment horizontal="center" vertical="center" wrapText="1"/>
    </xf>
    <xf numFmtId="171" fontId="6" fillId="7" borderId="9" xfId="1" applyNumberFormat="1" applyFont="1" applyFill="1" applyBorder="1" applyAlignment="1">
      <alignment horizontal="center" vertical="center"/>
    </xf>
    <xf numFmtId="3" fontId="6" fillId="0" borderId="9" xfId="1" applyNumberFormat="1" applyFont="1" applyFill="1" applyBorder="1" applyAlignment="1">
      <alignment horizontal="center" vertical="center"/>
    </xf>
    <xf numFmtId="171" fontId="6" fillId="18" borderId="9" xfId="1" applyNumberFormat="1" applyFont="1" applyFill="1" applyBorder="1" applyAlignment="1">
      <alignment horizontal="center" vertical="center"/>
    </xf>
    <xf numFmtId="4" fontId="6" fillId="3" borderId="9" xfId="5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 wrapText="1"/>
    </xf>
    <xf numFmtId="3" fontId="6" fillId="3" borderId="8" xfId="1" applyNumberFormat="1" applyFont="1" applyFill="1" applyBorder="1" applyAlignment="1">
      <alignment horizontal="center" vertical="center" wrapText="1"/>
    </xf>
    <xf numFmtId="171" fontId="6" fillId="7" borderId="9" xfId="1" applyNumberFormat="1" applyFont="1" applyFill="1" applyBorder="1" applyAlignment="1">
      <alignment horizontal="center" vertical="center"/>
    </xf>
    <xf numFmtId="4" fontId="6" fillId="3" borderId="9" xfId="0" applyNumberFormat="1" applyFont="1" applyFill="1" applyBorder="1" applyAlignment="1">
      <alignment horizontal="center" vertical="center"/>
    </xf>
    <xf numFmtId="0" fontId="12" fillId="3" borderId="2" xfId="3" applyFont="1" applyFill="1" applyBorder="1" applyAlignment="1">
      <alignment horizontal="center" vertical="center" wrapText="1"/>
    </xf>
    <xf numFmtId="0" fontId="21" fillId="3" borderId="1" xfId="0" applyFont="1" applyFill="1" applyBorder="1"/>
    <xf numFmtId="0" fontId="4" fillId="3" borderId="1" xfId="1" applyFont="1" applyFill="1" applyBorder="1"/>
    <xf numFmtId="0" fontId="4" fillId="3" borderId="4" xfId="1" applyFont="1" applyFill="1" applyBorder="1"/>
    <xf numFmtId="0" fontId="7" fillId="3" borderId="19" xfId="0" applyFont="1" applyFill="1" applyBorder="1"/>
    <xf numFmtId="3" fontId="7" fillId="3" borderId="17" xfId="0" applyNumberFormat="1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center" vertical="center"/>
    </xf>
    <xf numFmtId="171" fontId="7" fillId="18" borderId="17" xfId="0" applyNumberFormat="1" applyFont="1" applyFill="1" applyBorder="1" applyAlignment="1">
      <alignment horizontal="center" vertical="center"/>
    </xf>
    <xf numFmtId="4" fontId="7" fillId="3" borderId="17" xfId="0" applyNumberFormat="1" applyFont="1" applyFill="1" applyBorder="1" applyAlignment="1">
      <alignment horizontal="center" vertical="center"/>
    </xf>
    <xf numFmtId="0" fontId="7" fillId="3" borderId="0" xfId="0" applyFont="1" applyFill="1" applyBorder="1"/>
    <xf numFmtId="0" fontId="21" fillId="0" borderId="0" xfId="0" applyFont="1"/>
    <xf numFmtId="0" fontId="6" fillId="3" borderId="8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" fontId="6" fillId="3" borderId="9" xfId="1" applyNumberFormat="1" applyFont="1" applyFill="1" applyBorder="1" applyAlignment="1">
      <alignment horizontal="center" vertical="center"/>
    </xf>
    <xf numFmtId="4" fontId="6" fillId="3" borderId="9" xfId="5" applyNumberFormat="1" applyFont="1" applyFill="1" applyBorder="1" applyAlignment="1">
      <alignment horizontal="center" vertical="center"/>
    </xf>
    <xf numFmtId="0" fontId="6" fillId="3" borderId="9" xfId="2" applyFont="1" applyFill="1" applyBorder="1" applyAlignment="1">
      <alignment horizontal="left" vertical="top" wrapText="1"/>
    </xf>
    <xf numFmtId="3" fontId="6" fillId="3" borderId="9" xfId="2" applyNumberFormat="1" applyFont="1" applyFill="1" applyBorder="1" applyAlignment="1">
      <alignment horizontal="center" vertical="center" wrapText="1"/>
    </xf>
    <xf numFmtId="171" fontId="6" fillId="18" borderId="9" xfId="2" applyNumberFormat="1" applyFont="1" applyFill="1" applyBorder="1" applyAlignment="1">
      <alignment horizontal="center" vertical="center" wrapText="1"/>
    </xf>
    <xf numFmtId="4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4" fontId="7" fillId="3" borderId="0" xfId="1" applyNumberFormat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6" fillId="3" borderId="6" xfId="0" applyFont="1" applyFill="1" applyBorder="1" applyAlignment="1">
      <alignment horizontal="center" vertical="center"/>
    </xf>
    <xf numFmtId="0" fontId="6" fillId="3" borderId="6" xfId="1" applyFont="1" applyFill="1" applyBorder="1" applyAlignment="1">
      <alignment horizontal="center" vertical="center"/>
    </xf>
    <xf numFmtId="4" fontId="6" fillId="3" borderId="6" xfId="1" applyNumberFormat="1" applyFont="1" applyFill="1" applyBorder="1" applyAlignment="1">
      <alignment horizontal="center" vertical="center"/>
    </xf>
    <xf numFmtId="0" fontId="4" fillId="3" borderId="0" xfId="1" applyFill="1" applyBorder="1"/>
    <xf numFmtId="0" fontId="0" fillId="3" borderId="0" xfId="0" applyFill="1" applyBorder="1"/>
    <xf numFmtId="0" fontId="25" fillId="3" borderId="0" xfId="1" applyFont="1" applyFill="1"/>
    <xf numFmtId="0" fontId="7" fillId="3" borderId="0" xfId="6" applyFont="1" applyFill="1" applyBorder="1" applyAlignment="1">
      <alignment horizontal="center" vertical="center" wrapText="1"/>
    </xf>
    <xf numFmtId="166" fontId="6" fillId="3" borderId="0" xfId="6" applyNumberFormat="1" applyFont="1" applyFill="1" applyBorder="1" applyAlignment="1">
      <alignment horizontal="center" vertical="center"/>
    </xf>
    <xf numFmtId="0" fontId="6" fillId="3" borderId="0" xfId="6" applyFont="1" applyFill="1" applyBorder="1" applyAlignment="1">
      <alignment horizontal="center" vertical="center"/>
    </xf>
    <xf numFmtId="166" fontId="7" fillId="0" borderId="0" xfId="6" applyNumberFormat="1" applyFont="1" applyBorder="1" applyAlignment="1">
      <alignment horizontal="center" vertical="center"/>
    </xf>
    <xf numFmtId="0" fontId="7" fillId="0" borderId="2" xfId="6" applyFont="1" applyBorder="1" applyAlignment="1">
      <alignment horizontal="right"/>
    </xf>
    <xf numFmtId="0" fontId="26" fillId="0" borderId="2" xfId="6" applyFont="1" applyBorder="1"/>
    <xf numFmtId="0" fontId="7" fillId="0" borderId="2" xfId="6" applyFont="1" applyBorder="1"/>
    <xf numFmtId="0" fontId="7" fillId="0" borderId="0" xfId="6" applyFont="1"/>
    <xf numFmtId="3" fontId="6" fillId="8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16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14" fillId="0" borderId="0" xfId="0" applyNumberFormat="1" applyFont="1"/>
    <xf numFmtId="4" fontId="6" fillId="4" borderId="23" xfId="3" applyNumberFormat="1" applyFont="1" applyFill="1" applyBorder="1"/>
    <xf numFmtId="4" fontId="6" fillId="4" borderId="11" xfId="3" applyNumberFormat="1" applyFont="1" applyFill="1" applyBorder="1"/>
    <xf numFmtId="4" fontId="6" fillId="4" borderId="20" xfId="3" applyNumberFormat="1" applyFont="1" applyFill="1" applyBorder="1"/>
    <xf numFmtId="4" fontId="6" fillId="4" borderId="25" xfId="3" applyNumberFormat="1" applyFont="1" applyFill="1" applyBorder="1"/>
    <xf numFmtId="4" fontId="6" fillId="4" borderId="9" xfId="4" applyNumberFormat="1" applyFont="1" applyFill="1" applyBorder="1" applyAlignment="1">
      <alignment horizontal="center" vertical="center" wrapText="1"/>
    </xf>
    <xf numFmtId="4" fontId="6" fillId="4" borderId="9" xfId="4" applyNumberFormat="1" applyFont="1" applyFill="1" applyBorder="1" applyAlignment="1">
      <alignment horizontal="center" vertical="center"/>
    </xf>
    <xf numFmtId="4" fontId="6" fillId="3" borderId="9" xfId="4" applyNumberFormat="1" applyFont="1" applyFill="1" applyBorder="1" applyAlignment="1">
      <alignment horizontal="center" vertical="center"/>
    </xf>
    <xf numFmtId="4" fontId="6" fillId="4" borderId="9" xfId="3" applyNumberFormat="1" applyFont="1" applyFill="1" applyBorder="1" applyAlignment="1">
      <alignment horizontal="center" vertical="center" wrapText="1"/>
    </xf>
    <xf numFmtId="4" fontId="6" fillId="4" borderId="9" xfId="5" applyNumberFormat="1" applyFont="1" applyFill="1" applyBorder="1" applyAlignment="1">
      <alignment horizontal="center" vertical="center"/>
    </xf>
    <xf numFmtId="0" fontId="6" fillId="4" borderId="19" xfId="3" applyFont="1" applyFill="1" applyBorder="1"/>
    <xf numFmtId="0" fontId="7" fillId="4" borderId="17" xfId="3" applyFont="1" applyFill="1" applyBorder="1"/>
    <xf numFmtId="4" fontId="7" fillId="4" borderId="17" xfId="3" applyNumberFormat="1" applyFont="1" applyFill="1" applyBorder="1" applyAlignment="1">
      <alignment horizontal="center" vertical="center"/>
    </xf>
    <xf numFmtId="4" fontId="7" fillId="3" borderId="17" xfId="3" applyNumberFormat="1" applyFont="1" applyFill="1" applyBorder="1" applyAlignment="1">
      <alignment horizontal="center" vertical="center"/>
    </xf>
    <xf numFmtId="4" fontId="7" fillId="4" borderId="18" xfId="3" applyNumberFormat="1" applyFont="1" applyFill="1" applyBorder="1" applyAlignment="1">
      <alignment horizontal="center" vertical="center"/>
    </xf>
    <xf numFmtId="4" fontId="14" fillId="0" borderId="23" xfId="0" applyNumberFormat="1" applyFont="1" applyBorder="1"/>
    <xf numFmtId="3" fontId="14" fillId="0" borderId="23" xfId="0" applyNumberFormat="1" applyFont="1" applyBorder="1"/>
    <xf numFmtId="4" fontId="14" fillId="0" borderId="11" xfId="0" applyNumberFormat="1" applyFont="1" applyBorder="1"/>
    <xf numFmtId="4" fontId="14" fillId="0" borderId="20" xfId="0" applyNumberFormat="1" applyFont="1" applyBorder="1"/>
    <xf numFmtId="4" fontId="14" fillId="0" borderId="25" xfId="0" applyNumberFormat="1" applyFont="1" applyBorder="1"/>
    <xf numFmtId="2" fontId="14" fillId="0" borderId="0" xfId="0" applyNumberFormat="1" applyFont="1"/>
    <xf numFmtId="0" fontId="16" fillId="3" borderId="0" xfId="1" applyFont="1" applyFill="1"/>
    <xf numFmtId="0" fontId="8" fillId="20" borderId="2" xfId="3" applyFont="1" applyFill="1" applyBorder="1" applyAlignment="1">
      <alignment horizontal="left" wrapText="1"/>
    </xf>
    <xf numFmtId="165" fontId="8" fillId="20" borderId="2" xfId="3" applyNumberFormat="1" applyFont="1" applyFill="1" applyBorder="1" applyAlignment="1">
      <alignment horizontal="center" vertical="center"/>
    </xf>
    <xf numFmtId="4" fontId="6" fillId="0" borderId="2" xfId="0" applyNumberFormat="1" applyFont="1" applyBorder="1" applyAlignment="1">
      <alignment horizontal="center" vertical="center"/>
    </xf>
    <xf numFmtId="4" fontId="6" fillId="3" borderId="9" xfId="5" applyNumberFormat="1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6" fillId="0" borderId="0" xfId="0" applyNumberFormat="1" applyFont="1"/>
    <xf numFmtId="3" fontId="14" fillId="0" borderId="0" xfId="0" applyNumberFormat="1" applyFont="1" applyFill="1"/>
    <xf numFmtId="4" fontId="6" fillId="3" borderId="9" xfId="5" applyNumberFormat="1" applyFont="1" applyFill="1" applyBorder="1" applyAlignment="1">
      <alignment horizontal="center" vertical="center"/>
    </xf>
    <xf numFmtId="4" fontId="14" fillId="2" borderId="0" xfId="0" applyNumberFormat="1" applyFont="1" applyFill="1"/>
    <xf numFmtId="4" fontId="14" fillId="3" borderId="0" xfId="0" applyNumberFormat="1" applyFont="1" applyFill="1" applyAlignment="1">
      <alignment horizontal="center" vertical="center"/>
    </xf>
    <xf numFmtId="0" fontId="27" fillId="3" borderId="0" xfId="1" applyFont="1" applyFill="1"/>
    <xf numFmtId="4" fontId="14" fillId="0" borderId="2" xfId="0" applyNumberFormat="1" applyFont="1" applyBorder="1" applyAlignment="1">
      <alignment horizontal="center" vertical="center" wrapText="1"/>
    </xf>
    <xf numFmtId="4" fontId="14" fillId="0" borderId="0" xfId="0" applyNumberFormat="1" applyFont="1"/>
    <xf numFmtId="4" fontId="6" fillId="3" borderId="9" xfId="5" applyNumberFormat="1" applyFont="1" applyFill="1" applyBorder="1" applyAlignment="1">
      <alignment horizontal="center" vertical="center"/>
    </xf>
    <xf numFmtId="0" fontId="16" fillId="0" borderId="2" xfId="14" applyFont="1" applyFill="1" applyBorder="1" applyAlignment="1">
      <alignment horizontal="center" vertical="center"/>
    </xf>
    <xf numFmtId="1" fontId="16" fillId="0" borderId="2" xfId="14" applyNumberFormat="1" applyFont="1" applyFill="1" applyBorder="1" applyAlignment="1">
      <alignment horizontal="center" vertical="center"/>
    </xf>
    <xf numFmtId="0" fontId="6" fillId="21" borderId="2" xfId="1" applyFont="1" applyFill="1" applyBorder="1" applyAlignment="1">
      <alignment horizontal="left" wrapText="1"/>
    </xf>
    <xf numFmtId="3" fontId="14" fillId="21" borderId="2" xfId="0" applyNumberFormat="1" applyFont="1" applyFill="1" applyBorder="1" applyAlignment="1">
      <alignment horizontal="center" vertical="center"/>
    </xf>
    <xf numFmtId="4" fontId="6" fillId="21" borderId="2" xfId="1" applyNumberFormat="1" applyFont="1" applyFill="1" applyBorder="1" applyAlignment="1">
      <alignment horizontal="center" vertical="center"/>
    </xf>
    <xf numFmtId="4" fontId="14" fillId="21" borderId="2" xfId="0" applyNumberFormat="1" applyFont="1" applyFill="1" applyBorder="1" applyAlignment="1">
      <alignment horizontal="center" vertical="center"/>
    </xf>
    <xf numFmtId="0" fontId="7" fillId="3" borderId="0" xfId="1" applyFont="1" applyFill="1" applyBorder="1"/>
    <xf numFmtId="3" fontId="7" fillId="0" borderId="0" xfId="1" applyNumberFormat="1" applyFont="1" applyBorder="1" applyAlignment="1">
      <alignment horizontal="center" vertical="center"/>
    </xf>
    <xf numFmtId="4" fontId="7" fillId="3" borderId="0" xfId="2" applyNumberFormat="1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wrapText="1"/>
    </xf>
    <xf numFmtId="0" fontId="7" fillId="0" borderId="2" xfId="1" applyFont="1" applyBorder="1" applyAlignment="1">
      <alignment horizontal="right"/>
    </xf>
    <xf numFmtId="0" fontId="6" fillId="9" borderId="2" xfId="1" applyFont="1" applyFill="1" applyBorder="1" applyAlignment="1">
      <alignment horizontal="left" wrapText="1"/>
    </xf>
    <xf numFmtId="4" fontId="6" fillId="9" borderId="2" xfId="1" applyNumberFormat="1" applyFont="1" applyFill="1" applyBorder="1" applyAlignment="1">
      <alignment horizontal="center" vertical="center"/>
    </xf>
    <xf numFmtId="3" fontId="7" fillId="4" borderId="2" xfId="3" applyNumberFormat="1" applyFont="1" applyFill="1" applyBorder="1" applyAlignment="1">
      <alignment horizontal="center" vertical="center"/>
    </xf>
    <xf numFmtId="4" fontId="6" fillId="0" borderId="2" xfId="1" applyNumberFormat="1" applyFont="1" applyBorder="1" applyAlignment="1">
      <alignment vertical="center"/>
    </xf>
    <xf numFmtId="0" fontId="6" fillId="9" borderId="2" xfId="1" applyFont="1" applyFill="1" applyBorder="1"/>
    <xf numFmtId="0" fontId="16" fillId="11" borderId="2" xfId="1" applyFont="1" applyFill="1" applyBorder="1" applyAlignment="1">
      <alignment horizontal="center" vertical="center" wrapText="1"/>
    </xf>
    <xf numFmtId="0" fontId="26" fillId="11" borderId="2" xfId="1" applyFont="1" applyFill="1" applyBorder="1" applyAlignment="1">
      <alignment horizontal="center" vertical="center"/>
    </xf>
    <xf numFmtId="173" fontId="7" fillId="3" borderId="0" xfId="4" applyNumberFormat="1" applyFont="1" applyFill="1" applyBorder="1" applyAlignment="1">
      <alignment horizontal="right" vertical="center" wrapText="1" readingOrder="1"/>
    </xf>
    <xf numFmtId="0" fontId="6" fillId="3" borderId="2" xfId="1" applyFont="1" applyFill="1" applyBorder="1" applyAlignment="1">
      <alignment horizontal="center" vertical="center"/>
    </xf>
    <xf numFmtId="0" fontId="6" fillId="10" borderId="2" xfId="3" applyFont="1" applyFill="1" applyBorder="1" applyAlignment="1">
      <alignment horizontal="center" vertical="center" wrapText="1"/>
    </xf>
    <xf numFmtId="0" fontId="16" fillId="3" borderId="0" xfId="1" applyFont="1" applyFill="1" applyBorder="1"/>
    <xf numFmtId="0" fontId="28" fillId="11" borderId="5" xfId="17" applyFont="1" applyFill="1" applyBorder="1" applyAlignment="1">
      <alignment horizontal="center" vertical="center" wrapText="1"/>
    </xf>
    <xf numFmtId="0" fontId="16" fillId="3" borderId="2" xfId="1" applyFont="1" applyFill="1" applyBorder="1"/>
    <xf numFmtId="0" fontId="16" fillId="9" borderId="2" xfId="1" applyFont="1" applyFill="1" applyBorder="1"/>
    <xf numFmtId="0" fontId="28" fillId="11" borderId="2" xfId="17" applyFont="1" applyFill="1" applyBorder="1" applyAlignment="1">
      <alignment horizontal="center" vertical="center" wrapText="1"/>
    </xf>
    <xf numFmtId="0" fontId="16" fillId="22" borderId="2" xfId="1" applyFont="1" applyFill="1" applyBorder="1"/>
    <xf numFmtId="0" fontId="16" fillId="10" borderId="8" xfId="3" applyFont="1" applyFill="1" applyBorder="1" applyAlignment="1">
      <alignment horizontal="center" vertical="center" wrapText="1"/>
    </xf>
    <xf numFmtId="49" fontId="16" fillId="10" borderId="8" xfId="3" quotePrefix="1" applyNumberFormat="1" applyFont="1" applyFill="1" applyBorder="1" applyAlignment="1">
      <alignment horizontal="left" vertical="center" wrapText="1"/>
    </xf>
    <xf numFmtId="3" fontId="26" fillId="9" borderId="2" xfId="3" applyNumberFormat="1" applyFont="1" applyFill="1" applyBorder="1" applyAlignment="1">
      <alignment horizontal="center" vertical="center"/>
    </xf>
    <xf numFmtId="3" fontId="16" fillId="3" borderId="0" xfId="1" applyNumberFormat="1" applyFont="1" applyFill="1" applyBorder="1"/>
    <xf numFmtId="0" fontId="29" fillId="3" borderId="0" xfId="1" applyFont="1" applyFill="1" applyBorder="1"/>
    <xf numFmtId="0" fontId="30" fillId="11" borderId="5" xfId="17" applyFont="1" applyFill="1" applyBorder="1" applyAlignment="1">
      <alignment horizontal="center" vertical="center" wrapText="1"/>
    </xf>
    <xf numFmtId="0" fontId="30" fillId="11" borderId="2" xfId="17" applyFont="1" applyFill="1" applyBorder="1" applyAlignment="1">
      <alignment horizontal="center" vertical="center" wrapText="1"/>
    </xf>
    <xf numFmtId="0" fontId="31" fillId="11" borderId="2" xfId="1" applyFont="1" applyFill="1" applyBorder="1" applyAlignment="1">
      <alignment horizontal="center" vertical="center"/>
    </xf>
    <xf numFmtId="0" fontId="29" fillId="3" borderId="2" xfId="1" applyFont="1" applyFill="1" applyBorder="1"/>
    <xf numFmtId="0" fontId="29" fillId="9" borderId="2" xfId="1" applyFont="1" applyFill="1" applyBorder="1"/>
    <xf numFmtId="0" fontId="29" fillId="22" borderId="2" xfId="1" applyFont="1" applyFill="1" applyBorder="1"/>
    <xf numFmtId="0" fontId="6" fillId="0" borderId="0" xfId="14" applyFont="1" applyBorder="1" applyAlignment="1">
      <alignment wrapText="1"/>
    </xf>
    <xf numFmtId="2" fontId="6" fillId="0" borderId="0" xfId="14" applyNumberFormat="1" applyFont="1" applyBorder="1" applyAlignment="1">
      <alignment wrapText="1"/>
    </xf>
    <xf numFmtId="3" fontId="6" fillId="23" borderId="2" xfId="1" applyNumberFormat="1" applyFont="1" applyFill="1" applyBorder="1" applyAlignment="1">
      <alignment horizontal="center" vertical="center" wrapText="1"/>
    </xf>
    <xf numFmtId="3" fontId="16" fillId="24" borderId="2" xfId="1" applyNumberFormat="1" applyFont="1" applyFill="1" applyBorder="1" applyAlignment="1">
      <alignment horizontal="center" vertical="center" wrapText="1"/>
    </xf>
    <xf numFmtId="3" fontId="6" fillId="24" borderId="2" xfId="1" applyNumberFormat="1" applyFont="1" applyFill="1" applyBorder="1" applyAlignment="1">
      <alignment horizontal="center" vertical="center" wrapText="1"/>
    </xf>
    <xf numFmtId="3" fontId="6" fillId="15" borderId="2" xfId="1" applyNumberFormat="1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vertical="center" wrapText="1"/>
    </xf>
    <xf numFmtId="0" fontId="6" fillId="7" borderId="10" xfId="3" applyFont="1" applyFill="1" applyBorder="1" applyAlignment="1">
      <alignment vertical="center" wrapText="1"/>
    </xf>
    <xf numFmtId="0" fontId="6" fillId="7" borderId="5" xfId="3" applyFont="1" applyFill="1" applyBorder="1" applyAlignment="1">
      <alignment vertical="center" wrapText="1"/>
    </xf>
    <xf numFmtId="9" fontId="6" fillId="3" borderId="0" xfId="1" applyNumberFormat="1" applyFont="1" applyFill="1" applyBorder="1"/>
    <xf numFmtId="4" fontId="5" fillId="0" borderId="0" xfId="14" applyNumberFormat="1" applyFont="1"/>
    <xf numFmtId="3" fontId="14" fillId="0" borderId="2" xfId="0" applyNumberFormat="1" applyFont="1" applyBorder="1" applyAlignment="1">
      <alignment horizontal="center" vertical="center" wrapText="1"/>
    </xf>
    <xf numFmtId="3" fontId="14" fillId="22" borderId="2" xfId="0" applyNumberFormat="1" applyFont="1" applyFill="1" applyBorder="1" applyAlignment="1">
      <alignment horizontal="center" vertical="center"/>
    </xf>
    <xf numFmtId="0" fontId="6" fillId="0" borderId="2" xfId="14" applyFont="1" applyBorder="1" applyAlignment="1">
      <alignment horizontal="center" vertical="center" wrapText="1"/>
    </xf>
    <xf numFmtId="0" fontId="6" fillId="0" borderId="2" xfId="14" applyFont="1" applyBorder="1" applyAlignment="1">
      <alignment horizontal="center" vertical="center"/>
    </xf>
    <xf numFmtId="0" fontId="6" fillId="0" borderId="2" xfId="14" applyFont="1" applyFill="1" applyBorder="1" applyAlignment="1">
      <alignment horizontal="center" vertical="center" wrapText="1"/>
    </xf>
    <xf numFmtId="3" fontId="14" fillId="9" borderId="2" xfId="0" applyNumberFormat="1" applyFont="1" applyFill="1" applyBorder="1" applyAlignment="1">
      <alignment horizontal="center" vertical="center"/>
    </xf>
    <xf numFmtId="0" fontId="16" fillId="7" borderId="5" xfId="17" applyFont="1" applyFill="1" applyBorder="1" applyAlignment="1">
      <alignment horizontal="center" vertical="center" wrapText="1"/>
    </xf>
    <xf numFmtId="0" fontId="16" fillId="7" borderId="2" xfId="17" applyFont="1" applyFill="1" applyBorder="1" applyAlignment="1">
      <alignment horizontal="center" vertical="center" wrapText="1"/>
    </xf>
    <xf numFmtId="0" fontId="6" fillId="10" borderId="5" xfId="17" applyFont="1" applyFill="1" applyBorder="1" applyAlignment="1">
      <alignment horizontal="center" vertical="center" wrapText="1"/>
    </xf>
    <xf numFmtId="0" fontId="6" fillId="10" borderId="2" xfId="17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0" fontId="16" fillId="7" borderId="8" xfId="3" applyFont="1" applyFill="1" applyBorder="1" applyAlignment="1">
      <alignment horizontal="center" vertical="center" wrapText="1"/>
    </xf>
    <xf numFmtId="49" fontId="6" fillId="10" borderId="8" xfId="3" quotePrefix="1" applyNumberFormat="1" applyFont="1" applyFill="1" applyBorder="1" applyAlignment="1">
      <alignment horizontal="left" vertical="center" wrapText="1"/>
    </xf>
    <xf numFmtId="2" fontId="6" fillId="0" borderId="0" xfId="14" applyNumberFormat="1" applyFont="1" applyBorder="1" applyAlignment="1">
      <alignment vertical="top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/>
    </xf>
    <xf numFmtId="3" fontId="6" fillId="10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16" fillId="9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16" fillId="9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16" fillId="9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6" fillId="7" borderId="2" xfId="1" applyNumberFormat="1" applyFont="1" applyFill="1" applyBorder="1" applyAlignment="1">
      <alignment horizontal="center" vertical="center" wrapText="1"/>
    </xf>
    <xf numFmtId="3" fontId="6" fillId="3" borderId="2" xfId="1" applyNumberFormat="1" applyFont="1" applyFill="1" applyBorder="1" applyAlignment="1">
      <alignment horizontal="center" vertical="center"/>
    </xf>
    <xf numFmtId="3" fontId="6" fillId="3" borderId="0" xfId="1" applyNumberFormat="1" applyFont="1" applyFill="1" applyBorder="1"/>
    <xf numFmtId="3" fontId="16" fillId="9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16" fillId="9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0" fontId="6" fillId="25" borderId="8" xfId="3" applyFont="1" applyFill="1" applyBorder="1" applyAlignment="1">
      <alignment horizontal="center" vertical="center" wrapText="1"/>
    </xf>
    <xf numFmtId="3" fontId="6" fillId="26" borderId="2" xfId="0" applyNumberFormat="1" applyFont="1" applyFill="1" applyBorder="1" applyAlignment="1">
      <alignment horizontal="center" vertical="center" wrapText="1"/>
    </xf>
    <xf numFmtId="3" fontId="6" fillId="27" borderId="2" xfId="0" applyNumberFormat="1" applyFont="1" applyFill="1" applyBorder="1" applyAlignment="1">
      <alignment horizontal="center" vertical="center" wrapText="1"/>
    </xf>
    <xf numFmtId="3" fontId="7" fillId="10" borderId="2" xfId="1" applyNumberFormat="1" applyFont="1" applyFill="1" applyBorder="1" applyAlignment="1">
      <alignment horizontal="center" vertical="center" wrapText="1"/>
    </xf>
    <xf numFmtId="3" fontId="6" fillId="8" borderId="2" xfId="1" applyNumberFormat="1" applyFont="1" applyFill="1" applyBorder="1" applyAlignment="1">
      <alignment horizontal="center" vertical="center" wrapText="1"/>
    </xf>
    <xf numFmtId="3" fontId="22" fillId="10" borderId="2" xfId="1" applyNumberFormat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left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left" wrapText="1"/>
    </xf>
    <xf numFmtId="3" fontId="6" fillId="10" borderId="2" xfId="1" applyNumberFormat="1" applyFont="1" applyFill="1" applyBorder="1" applyAlignment="1">
      <alignment horizontal="center" vertical="center" wrapText="1"/>
    </xf>
    <xf numFmtId="0" fontId="7" fillId="3" borderId="2" xfId="14" applyFont="1" applyFill="1" applyBorder="1" applyAlignment="1">
      <alignment horizontal="center" vertical="center" wrapText="1"/>
    </xf>
    <xf numFmtId="0" fontId="6" fillId="3" borderId="0" xfId="1" applyFont="1" applyFill="1" applyBorder="1"/>
    <xf numFmtId="0" fontId="6" fillId="7" borderId="8" xfId="3" applyFont="1" applyFill="1" applyBorder="1" applyAlignment="1">
      <alignment horizontal="center" vertical="center" wrapText="1"/>
    </xf>
    <xf numFmtId="49" fontId="6" fillId="7" borderId="8" xfId="3" quotePrefix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6" fillId="7" borderId="2" xfId="1" applyNumberFormat="1" applyFont="1" applyFill="1" applyBorder="1" applyAlignment="1">
      <alignment horizontal="center" vertical="center" wrapText="1"/>
    </xf>
    <xf numFmtId="3" fontId="6" fillId="3" borderId="0" xfId="1" applyNumberFormat="1" applyFont="1" applyFill="1" applyBorder="1"/>
    <xf numFmtId="0" fontId="6" fillId="3" borderId="2" xfId="1" applyFont="1" applyFill="1" applyBorder="1" applyAlignment="1">
      <alignment horizontal="left" vertical="top" wrapText="1"/>
    </xf>
    <xf numFmtId="3" fontId="7" fillId="9" borderId="2" xfId="3" applyNumberFormat="1" applyFont="1" applyFill="1" applyBorder="1" applyAlignment="1">
      <alignment horizontal="center" vertical="center"/>
    </xf>
    <xf numFmtId="0" fontId="6" fillId="0" borderId="2" xfId="1" quotePrefix="1" applyFont="1" applyFill="1" applyBorder="1" applyAlignment="1">
      <alignment horizontal="left" wrapText="1"/>
    </xf>
    <xf numFmtId="3" fontId="6" fillId="9" borderId="2" xfId="1" applyNumberFormat="1" applyFont="1" applyFill="1" applyBorder="1" applyAlignment="1">
      <alignment horizontal="center" vertical="center" wrapText="1"/>
    </xf>
    <xf numFmtId="3" fontId="6" fillId="10" borderId="2" xfId="1" applyNumberFormat="1" applyFont="1" applyFill="1" applyBorder="1" applyAlignment="1">
      <alignment horizontal="center" vertical="center" wrapText="1"/>
    </xf>
    <xf numFmtId="3" fontId="7" fillId="9" borderId="2" xfId="3" applyNumberFormat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/>
    </xf>
    <xf numFmtId="4" fontId="7" fillId="0" borderId="0" xfId="14" applyNumberFormat="1" applyFont="1" applyFill="1" applyAlignment="1">
      <alignment horizontal="center" vertical="center"/>
    </xf>
    <xf numFmtId="0" fontId="5" fillId="0" borderId="0" xfId="14" applyFont="1" applyBorder="1"/>
    <xf numFmtId="2" fontId="34" fillId="0" borderId="0" xfId="14" applyNumberFormat="1" applyFont="1" applyFill="1"/>
    <xf numFmtId="0" fontId="7" fillId="2" borderId="2" xfId="14" applyFont="1" applyFill="1" applyBorder="1" applyAlignment="1">
      <alignment horizontal="center" vertical="center"/>
    </xf>
    <xf numFmtId="2" fontId="7" fillId="2" borderId="0" xfId="1" applyNumberFormat="1" applyFont="1" applyFill="1" applyAlignment="1">
      <alignment horizontal="center"/>
    </xf>
    <xf numFmtId="0" fontId="7" fillId="3" borderId="2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3" fontId="14" fillId="10" borderId="2" xfId="1" applyNumberFormat="1" applyFont="1" applyFill="1" applyBorder="1" applyAlignment="1">
      <alignment horizontal="center" vertical="center" wrapText="1"/>
    </xf>
    <xf numFmtId="0" fontId="7" fillId="0" borderId="2" xfId="14" applyFont="1" applyFill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6" fillId="3" borderId="2" xfId="14" applyFont="1" applyFill="1" applyBorder="1" applyAlignment="1">
      <alignment horizontal="center" vertical="center"/>
    </xf>
    <xf numFmtId="2" fontId="6" fillId="28" borderId="0" xfId="14" applyNumberFormat="1" applyFont="1" applyFill="1"/>
    <xf numFmtId="4" fontId="6" fillId="0" borderId="0" xfId="14" applyNumberFormat="1" applyFont="1" applyFill="1" applyAlignment="1">
      <alignment horizontal="center" vertical="center"/>
    </xf>
    <xf numFmtId="0" fontId="5" fillId="0" borderId="6" xfId="14" applyFont="1" applyBorder="1" applyAlignment="1"/>
    <xf numFmtId="0" fontId="5" fillId="0" borderId="0" xfId="14" applyFont="1" applyBorder="1" applyAlignment="1"/>
    <xf numFmtId="0" fontId="6" fillId="4" borderId="0" xfId="3" applyFont="1" applyFill="1" applyAlignment="1"/>
    <xf numFmtId="0" fontId="6" fillId="4" borderId="2" xfId="3" applyFont="1" applyFill="1" applyBorder="1" applyAlignment="1"/>
    <xf numFmtId="4" fontId="6" fillId="4" borderId="2" xfId="3" applyNumberFormat="1" applyFont="1" applyFill="1" applyBorder="1" applyAlignment="1">
      <alignment horizontal="center" vertical="center"/>
    </xf>
    <xf numFmtId="4" fontId="6" fillId="4" borderId="0" xfId="3" applyNumberFormat="1" applyFont="1" applyFill="1" applyAlignment="1"/>
    <xf numFmtId="4" fontId="6" fillId="4" borderId="2" xfId="3" applyNumberFormat="1" applyFont="1" applyFill="1" applyBorder="1" applyAlignment="1"/>
    <xf numFmtId="3" fontId="7" fillId="4" borderId="2" xfId="3" applyNumberFormat="1" applyFont="1" applyFill="1" applyBorder="1" applyAlignment="1"/>
    <xf numFmtId="3" fontId="6" fillId="5" borderId="2" xfId="3" applyNumberFormat="1" applyFont="1" applyFill="1" applyBorder="1" applyAlignment="1">
      <alignment horizontal="center" vertical="center" wrapText="1"/>
    </xf>
    <xf numFmtId="3" fontId="6" fillId="5" borderId="2" xfId="3" applyNumberFormat="1" applyFont="1" applyFill="1" applyBorder="1" applyAlignment="1">
      <alignment horizontal="center" vertical="center"/>
    </xf>
    <xf numFmtId="3" fontId="6" fillId="2" borderId="2" xfId="3" applyNumberFormat="1" applyFont="1" applyFill="1" applyBorder="1" applyAlignment="1">
      <alignment horizontal="center" vertical="center" wrapText="1"/>
    </xf>
    <xf numFmtId="3" fontId="6" fillId="2" borderId="2" xfId="3" applyNumberFormat="1" applyFont="1" applyFill="1" applyBorder="1" applyAlignment="1">
      <alignment horizontal="center" vertical="center"/>
    </xf>
    <xf numFmtId="4" fontId="6" fillId="2" borderId="0" xfId="3" applyNumberFormat="1" applyFont="1" applyFill="1"/>
    <xf numFmtId="0" fontId="5" fillId="0" borderId="2" xfId="14" applyFont="1" applyBorder="1" applyAlignment="1"/>
    <xf numFmtId="4" fontId="7" fillId="5" borderId="0" xfId="3" applyNumberFormat="1" applyFont="1" applyFill="1"/>
    <xf numFmtId="4" fontId="7" fillId="5" borderId="2" xfId="3" applyNumberFormat="1" applyFont="1" applyFill="1" applyBorder="1"/>
    <xf numFmtId="0" fontId="6" fillId="3" borderId="4" xfId="1" applyFont="1" applyFill="1" applyBorder="1" applyAlignment="1">
      <alignment horizontal="center" vertical="center" wrapText="1"/>
    </xf>
    <xf numFmtId="0" fontId="6" fillId="3" borderId="10" xfId="1" applyFont="1" applyFill="1" applyBorder="1" applyAlignment="1">
      <alignment horizontal="center" vertical="center" wrapText="1"/>
    </xf>
    <xf numFmtId="0" fontId="6" fillId="3" borderId="5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3" applyFont="1" applyFill="1" applyBorder="1" applyAlignment="1">
      <alignment horizontal="center" vertical="center" wrapText="1"/>
    </xf>
    <xf numFmtId="0" fontId="6" fillId="3" borderId="8" xfId="3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2" borderId="10" xfId="0" applyFont="1" applyFill="1" applyBorder="1" applyAlignment="1">
      <alignment horizontal="center" vertical="center" wrapText="1"/>
    </xf>
    <xf numFmtId="0" fontId="14" fillId="12" borderId="5" xfId="0" applyFont="1" applyFill="1" applyBorder="1" applyAlignment="1">
      <alignment horizontal="center" vertical="center" wrapText="1"/>
    </xf>
    <xf numFmtId="0" fontId="14" fillId="13" borderId="9" xfId="0" applyFont="1" applyFill="1" applyBorder="1" applyAlignment="1">
      <alignment horizontal="center" vertical="center" wrapText="1"/>
    </xf>
    <xf numFmtId="0" fontId="14" fillId="13" borderId="8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4" fillId="14" borderId="2" xfId="0" applyFont="1" applyFill="1" applyBorder="1" applyAlignment="1">
      <alignment horizontal="center" vertical="center" wrapText="1"/>
    </xf>
    <xf numFmtId="0" fontId="7" fillId="12" borderId="4" xfId="0" applyFont="1" applyFill="1" applyBorder="1" applyAlignment="1">
      <alignment horizontal="center" vertical="center" wrapText="1"/>
    </xf>
    <xf numFmtId="0" fontId="7" fillId="12" borderId="10" xfId="0" applyFont="1" applyFill="1" applyBorder="1" applyAlignment="1">
      <alignment horizontal="center" vertical="center" wrapText="1"/>
    </xf>
    <xf numFmtId="0" fontId="7" fillId="12" borderId="5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15" borderId="2" xfId="0" applyFont="1" applyFill="1" applyBorder="1" applyAlignment="1">
      <alignment horizontal="center" vertical="center" wrapText="1"/>
    </xf>
    <xf numFmtId="0" fontId="7" fillId="15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14" fillId="12" borderId="9" xfId="0" applyFont="1" applyFill="1" applyBorder="1" applyAlignment="1">
      <alignment horizontal="center" vertical="center" wrapText="1"/>
    </xf>
    <xf numFmtId="0" fontId="14" fillId="12" borderId="8" xfId="0" applyFont="1" applyFill="1" applyBorder="1" applyAlignment="1">
      <alignment horizontal="center" vertical="center" wrapText="1"/>
    </xf>
    <xf numFmtId="0" fontId="14" fillId="12" borderId="2" xfId="0" applyFont="1" applyFill="1" applyBorder="1" applyAlignment="1">
      <alignment horizontal="center" vertical="center" wrapText="1"/>
    </xf>
    <xf numFmtId="0" fontId="7" fillId="13" borderId="2" xfId="0" applyFont="1" applyFill="1" applyBorder="1" applyAlignment="1">
      <alignment horizontal="center" vertical="center" wrapText="1"/>
    </xf>
    <xf numFmtId="0" fontId="7" fillId="14" borderId="2" xfId="0" applyFont="1" applyFill="1" applyBorder="1" applyAlignment="1">
      <alignment horizontal="center" vertical="center" wrapText="1"/>
    </xf>
    <xf numFmtId="0" fontId="7" fillId="11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 wrapText="1"/>
    </xf>
    <xf numFmtId="0" fontId="14" fillId="11" borderId="2" xfId="0" applyFont="1" applyFill="1" applyBorder="1" applyAlignment="1">
      <alignment horizontal="center" vertical="center" wrapText="1"/>
    </xf>
    <xf numFmtId="0" fontId="7" fillId="0" borderId="0" xfId="1" quotePrefix="1" applyFont="1" applyAlignment="1">
      <alignment horizontal="center"/>
    </xf>
    <xf numFmtId="0" fontId="6" fillId="0" borderId="9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8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7" fillId="3" borderId="9" xfId="1" quotePrefix="1" applyFont="1" applyFill="1" applyBorder="1" applyAlignment="1">
      <alignment horizontal="center" vertical="center" wrapText="1"/>
    </xf>
    <xf numFmtId="0" fontId="7" fillId="3" borderId="7" xfId="1" applyFont="1" applyFill="1" applyBorder="1" applyAlignment="1">
      <alignment horizontal="center" vertical="center" wrapText="1"/>
    </xf>
    <xf numFmtId="0" fontId="7" fillId="3" borderId="8" xfId="1" applyFont="1" applyFill="1" applyBorder="1" applyAlignment="1">
      <alignment horizontal="center" vertical="center" wrapText="1"/>
    </xf>
    <xf numFmtId="0" fontId="7" fillId="3" borderId="2" xfId="1" applyFont="1" applyFill="1" applyBorder="1" applyAlignment="1">
      <alignment horizontal="center" vertical="center" wrapText="1"/>
    </xf>
    <xf numFmtId="0" fontId="7" fillId="3" borderId="9" xfId="1" applyFont="1" applyFill="1" applyBorder="1" applyAlignment="1">
      <alignment horizontal="center" vertical="center" wrapText="1"/>
    </xf>
    <xf numFmtId="0" fontId="7" fillId="3" borderId="13" xfId="1" quotePrefix="1" applyFont="1" applyFill="1" applyBorder="1" applyAlignment="1">
      <alignment horizontal="center"/>
    </xf>
    <xf numFmtId="0" fontId="7" fillId="3" borderId="12" xfId="1" applyFont="1" applyFill="1" applyBorder="1" applyAlignment="1">
      <alignment horizontal="center" vertical="center" wrapText="1"/>
    </xf>
    <xf numFmtId="0" fontId="7" fillId="3" borderId="14" xfId="1" applyFont="1" applyFill="1" applyBorder="1" applyAlignment="1">
      <alignment horizontal="center" vertical="center" wrapText="1"/>
    </xf>
    <xf numFmtId="0" fontId="7" fillId="3" borderId="15" xfId="1" applyFont="1" applyFill="1" applyBorder="1" applyAlignment="1">
      <alignment horizontal="center" vertical="center" wrapText="1"/>
    </xf>
    <xf numFmtId="0" fontId="7" fillId="3" borderId="4" xfId="1" applyFont="1" applyFill="1" applyBorder="1" applyAlignment="1">
      <alignment horizontal="center" vertical="center" wrapText="1"/>
    </xf>
    <xf numFmtId="0" fontId="7" fillId="3" borderId="10" xfId="1" applyFont="1" applyFill="1" applyBorder="1" applyAlignment="1">
      <alignment horizontal="center" vertical="center" wrapText="1"/>
    </xf>
    <xf numFmtId="0" fontId="7" fillId="3" borderId="5" xfId="1" applyFont="1" applyFill="1" applyBorder="1" applyAlignment="1">
      <alignment horizontal="center" vertical="center" wrapText="1"/>
    </xf>
    <xf numFmtId="0" fontId="7" fillId="3" borderId="7" xfId="1" quotePrefix="1" applyFont="1" applyFill="1" applyBorder="1" applyAlignment="1">
      <alignment horizontal="center" vertical="center" wrapText="1"/>
    </xf>
    <xf numFmtId="0" fontId="7" fillId="3" borderId="8" xfId="1" quotePrefix="1" applyFont="1" applyFill="1" applyBorder="1" applyAlignment="1">
      <alignment horizontal="center" vertical="center" wrapText="1"/>
    </xf>
    <xf numFmtId="0" fontId="7" fillId="7" borderId="9" xfId="1" applyFont="1" applyFill="1" applyBorder="1" applyAlignment="1">
      <alignment horizontal="center" vertical="center" wrapText="1"/>
    </xf>
    <xf numFmtId="0" fontId="7" fillId="7" borderId="7" xfId="1" applyFont="1" applyFill="1" applyBorder="1" applyAlignment="1">
      <alignment horizontal="center" vertical="center" wrapText="1"/>
    </xf>
    <xf numFmtId="0" fontId="7" fillId="7" borderId="8" xfId="1" applyFont="1" applyFill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7" fillId="0" borderId="13" xfId="1" quotePrefix="1" applyFont="1" applyBorder="1" applyAlignment="1">
      <alignment horizontal="center"/>
    </xf>
    <xf numFmtId="0" fontId="7" fillId="0" borderId="14" xfId="1" applyFont="1" applyBorder="1" applyAlignment="1">
      <alignment vertical="center" wrapText="1"/>
    </xf>
    <xf numFmtId="0" fontId="7" fillId="0" borderId="13" xfId="1" applyFont="1" applyBorder="1" applyAlignment="1">
      <alignment vertical="center" wrapText="1"/>
    </xf>
    <xf numFmtId="0" fontId="6" fillId="0" borderId="14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6" fillId="0" borderId="0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7" fillId="0" borderId="14" xfId="1" applyFont="1" applyBorder="1" applyAlignment="1">
      <alignment horizontal="left" vertical="center"/>
    </xf>
    <xf numFmtId="0" fontId="7" fillId="0" borderId="10" xfId="1" applyFont="1" applyBorder="1" applyAlignment="1">
      <alignment horizontal="left" vertical="center"/>
    </xf>
    <xf numFmtId="0" fontId="6" fillId="0" borderId="10" xfId="1" applyFont="1" applyBorder="1" applyAlignment="1">
      <alignment horizontal="left" vertical="center"/>
    </xf>
    <xf numFmtId="4" fontId="6" fillId="2" borderId="24" xfId="1" applyNumberFormat="1" applyFont="1" applyFill="1" applyBorder="1" applyAlignment="1">
      <alignment horizontal="left" vertical="center" wrapText="1"/>
    </xf>
    <xf numFmtId="4" fontId="6" fillId="2" borderId="0" xfId="1" applyNumberFormat="1" applyFont="1" applyFill="1" applyBorder="1" applyAlignment="1">
      <alignment horizontal="left" vertical="center" wrapText="1"/>
    </xf>
    <xf numFmtId="0" fontId="7" fillId="7" borderId="2" xfId="1" applyFont="1" applyFill="1" applyBorder="1" applyAlignment="1">
      <alignment horizontal="center" vertical="center" wrapText="1"/>
    </xf>
    <xf numFmtId="4" fontId="6" fillId="3" borderId="9" xfId="1" applyNumberFormat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center" vertical="center"/>
    </xf>
    <xf numFmtId="0" fontId="6" fillId="3" borderId="12" xfId="1" applyFont="1" applyFill="1" applyBorder="1" applyAlignment="1">
      <alignment horizontal="center" vertical="center" wrapText="1"/>
    </xf>
    <xf numFmtId="0" fontId="6" fillId="3" borderId="15" xfId="1" applyFont="1" applyFill="1" applyBorder="1" applyAlignment="1">
      <alignment horizontal="center" vertical="center" wrapText="1"/>
    </xf>
    <xf numFmtId="0" fontId="6" fillId="3" borderId="9" xfId="1" quotePrefix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left" vertical="top" wrapText="1"/>
    </xf>
    <xf numFmtId="0" fontId="6" fillId="3" borderId="8" xfId="1" applyFont="1" applyFill="1" applyBorder="1" applyAlignment="1">
      <alignment horizontal="left" vertical="top" wrapText="1"/>
    </xf>
    <xf numFmtId="3" fontId="6" fillId="3" borderId="9" xfId="1" applyNumberFormat="1" applyFont="1" applyFill="1" applyBorder="1" applyAlignment="1">
      <alignment horizontal="center" vertical="center"/>
    </xf>
    <xf numFmtId="3" fontId="6" fillId="3" borderId="8" xfId="1" applyNumberFormat="1" applyFont="1" applyFill="1" applyBorder="1" applyAlignment="1">
      <alignment horizontal="center" vertical="center"/>
    </xf>
    <xf numFmtId="0" fontId="6" fillId="3" borderId="7" xfId="1" applyFont="1" applyFill="1" applyBorder="1" applyAlignment="1">
      <alignment horizontal="left" vertical="top" wrapText="1"/>
    </xf>
    <xf numFmtId="3" fontId="6" fillId="3" borderId="7" xfId="1" applyNumberFormat="1" applyFont="1" applyFill="1" applyBorder="1" applyAlignment="1">
      <alignment horizontal="center" vertical="center"/>
    </xf>
    <xf numFmtId="0" fontId="6" fillId="3" borderId="2" xfId="1" quotePrefix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 vertical="center"/>
    </xf>
    <xf numFmtId="0" fontId="6" fillId="17" borderId="9" xfId="1" applyFont="1" applyFill="1" applyBorder="1" applyAlignment="1">
      <alignment horizontal="center" vertical="center" wrapText="1"/>
    </xf>
    <xf numFmtId="0" fontId="6" fillId="17" borderId="8" xfId="1" applyFont="1" applyFill="1" applyBorder="1" applyAlignment="1">
      <alignment horizontal="center" vertical="center" wrapText="1"/>
    </xf>
    <xf numFmtId="171" fontId="6" fillId="17" borderId="9" xfId="1" applyNumberFormat="1" applyFont="1" applyFill="1" applyBorder="1" applyAlignment="1">
      <alignment horizontal="center" vertical="center"/>
    </xf>
    <xf numFmtId="171" fontId="6" fillId="17" borderId="8" xfId="1" applyNumberFormat="1" applyFont="1" applyFill="1" applyBorder="1" applyAlignment="1">
      <alignment horizontal="center" vertical="center"/>
    </xf>
    <xf numFmtId="171" fontId="6" fillId="3" borderId="9" xfId="1" applyNumberFormat="1" applyFont="1" applyFill="1" applyBorder="1" applyAlignment="1">
      <alignment horizontal="center" vertical="center"/>
    </xf>
    <xf numFmtId="171" fontId="6" fillId="3" borderId="8" xfId="1" applyNumberFormat="1" applyFont="1" applyFill="1" applyBorder="1" applyAlignment="1">
      <alignment horizontal="center" vertical="center"/>
    </xf>
    <xf numFmtId="171" fontId="6" fillId="17" borderId="7" xfId="1" applyNumberFormat="1" applyFont="1" applyFill="1" applyBorder="1" applyAlignment="1">
      <alignment horizontal="center" vertical="center"/>
    </xf>
    <xf numFmtId="171" fontId="6" fillId="3" borderId="7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9" fillId="0" borderId="0" xfId="1" applyFont="1" applyAlignment="1">
      <alignment horizontal="center" wrapText="1"/>
    </xf>
    <xf numFmtId="0" fontId="6" fillId="7" borderId="9" xfId="1" applyFont="1" applyFill="1" applyBorder="1" applyAlignment="1">
      <alignment horizontal="center" vertical="center" wrapText="1"/>
    </xf>
    <xf numFmtId="0" fontId="6" fillId="7" borderId="8" xfId="1" applyFont="1" applyFill="1" applyBorder="1" applyAlignment="1">
      <alignment horizontal="center" vertical="center" wrapText="1"/>
    </xf>
    <xf numFmtId="3" fontId="6" fillId="3" borderId="9" xfId="1" applyNumberFormat="1" applyFont="1" applyFill="1" applyBorder="1" applyAlignment="1">
      <alignment horizontal="center" vertical="center" wrapText="1"/>
    </xf>
    <xf numFmtId="3" fontId="6" fillId="3" borderId="7" xfId="1" applyNumberFormat="1" applyFont="1" applyFill="1" applyBorder="1" applyAlignment="1">
      <alignment horizontal="center" vertical="center" wrapText="1"/>
    </xf>
    <xf numFmtId="3" fontId="6" fillId="3" borderId="8" xfId="1" applyNumberFormat="1" applyFont="1" applyFill="1" applyBorder="1" applyAlignment="1">
      <alignment horizontal="center" vertical="center" wrapText="1"/>
    </xf>
    <xf numFmtId="171" fontId="6" fillId="7" borderId="9" xfId="1" applyNumberFormat="1" applyFont="1" applyFill="1" applyBorder="1" applyAlignment="1">
      <alignment horizontal="center" vertical="center"/>
    </xf>
    <xf numFmtId="171" fontId="6" fillId="7" borderId="7" xfId="1" applyNumberFormat="1" applyFont="1" applyFill="1" applyBorder="1" applyAlignment="1">
      <alignment horizontal="center" vertical="center"/>
    </xf>
    <xf numFmtId="171" fontId="6" fillId="7" borderId="8" xfId="1" applyNumberFormat="1" applyFont="1" applyFill="1" applyBorder="1" applyAlignment="1">
      <alignment horizontal="center" vertical="center"/>
    </xf>
    <xf numFmtId="0" fontId="7" fillId="3" borderId="0" xfId="1" quotePrefix="1" applyFont="1" applyFill="1" applyAlignment="1">
      <alignment horizontal="left"/>
    </xf>
    <xf numFmtId="0" fontId="7" fillId="3" borderId="0" xfId="1" applyFont="1" applyFill="1" applyAlignment="1">
      <alignment horizontal="left"/>
    </xf>
    <xf numFmtId="0" fontId="6" fillId="3" borderId="9" xfId="1" applyFont="1" applyFill="1" applyBorder="1" applyAlignment="1">
      <alignment horizontal="left" vertical="center" wrapText="1"/>
    </xf>
    <xf numFmtId="0" fontId="6" fillId="3" borderId="7" xfId="1" applyFont="1" applyFill="1" applyBorder="1" applyAlignment="1">
      <alignment horizontal="left" vertical="center" wrapText="1"/>
    </xf>
    <xf numFmtId="0" fontId="6" fillId="3" borderId="8" xfId="1" applyFont="1" applyFill="1" applyBorder="1" applyAlignment="1">
      <alignment horizontal="left" vertical="center" wrapText="1"/>
    </xf>
    <xf numFmtId="4" fontId="6" fillId="3" borderId="9" xfId="0" applyNumberFormat="1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21" fillId="3" borderId="0" xfId="0" applyFont="1" applyFill="1" applyAlignment="1">
      <alignment horizontal="left" vertical="center"/>
    </xf>
    <xf numFmtId="0" fontId="4" fillId="3" borderId="0" xfId="1" applyFont="1" applyFill="1" applyAlignment="1">
      <alignment horizontal="left" vertical="center"/>
    </xf>
    <xf numFmtId="0" fontId="6" fillId="3" borderId="0" xfId="1" applyFont="1" applyFill="1" applyAlignment="1">
      <alignment horizontal="left" vertical="center" wrapText="1"/>
    </xf>
    <xf numFmtId="0" fontId="6" fillId="3" borderId="0" xfId="1" applyFont="1" applyFill="1" applyAlignment="1">
      <alignment horizontal="left" vertical="center"/>
    </xf>
    <xf numFmtId="0" fontId="4" fillId="3" borderId="0" xfId="1" applyFont="1" applyFill="1" applyAlignment="1">
      <alignment horizontal="left" vertical="center" wrapText="1"/>
    </xf>
    <xf numFmtId="0" fontId="6" fillId="0" borderId="9" xfId="1" applyFont="1" applyFill="1" applyBorder="1" applyAlignment="1">
      <alignment horizontal="left" vertical="center" wrapText="1"/>
    </xf>
    <xf numFmtId="0" fontId="6" fillId="0" borderId="7" xfId="1" applyFont="1" applyFill="1" applyBorder="1" applyAlignment="1">
      <alignment horizontal="left" vertical="center" wrapText="1"/>
    </xf>
    <xf numFmtId="0" fontId="6" fillId="0" borderId="8" xfId="1" applyFont="1" applyFill="1" applyBorder="1" applyAlignment="1">
      <alignment horizontal="left" vertical="center" wrapText="1"/>
    </xf>
    <xf numFmtId="3" fontId="6" fillId="0" borderId="9" xfId="1" applyNumberFormat="1" applyFont="1" applyFill="1" applyBorder="1" applyAlignment="1">
      <alignment horizontal="center" vertical="center"/>
    </xf>
    <xf numFmtId="3" fontId="6" fillId="0" borderId="7" xfId="1" applyNumberFormat="1" applyFont="1" applyFill="1" applyBorder="1" applyAlignment="1">
      <alignment horizontal="center" vertical="center"/>
    </xf>
    <xf numFmtId="3" fontId="6" fillId="0" borderId="8" xfId="1" applyNumberFormat="1" applyFont="1" applyFill="1" applyBorder="1" applyAlignment="1">
      <alignment horizontal="center" vertical="center"/>
    </xf>
    <xf numFmtId="171" fontId="6" fillId="18" borderId="9" xfId="1" applyNumberFormat="1" applyFont="1" applyFill="1" applyBorder="1" applyAlignment="1">
      <alignment horizontal="center" vertical="center"/>
    </xf>
    <xf numFmtId="171" fontId="6" fillId="18" borderId="7" xfId="1" applyNumberFormat="1" applyFont="1" applyFill="1" applyBorder="1" applyAlignment="1">
      <alignment horizontal="center" vertical="center"/>
    </xf>
    <xf numFmtId="171" fontId="6" fillId="18" borderId="8" xfId="1" applyNumberFormat="1" applyFont="1" applyFill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0" fontId="7" fillId="0" borderId="0" xfId="1" quotePrefix="1" applyFont="1" applyFill="1" applyAlignment="1">
      <alignment horizontal="center"/>
    </xf>
    <xf numFmtId="0" fontId="7" fillId="0" borderId="0" xfId="1" applyFont="1" applyFill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6" fillId="3" borderId="9" xfId="2" applyFont="1" applyFill="1" applyBorder="1" applyAlignment="1">
      <alignment horizontal="left" vertical="center" wrapText="1"/>
    </xf>
    <xf numFmtId="0" fontId="6" fillId="3" borderId="8" xfId="2" applyFont="1" applyFill="1" applyBorder="1" applyAlignment="1">
      <alignment horizontal="left" vertical="center" wrapText="1"/>
    </xf>
    <xf numFmtId="0" fontId="6" fillId="3" borderId="7" xfId="2" applyFont="1" applyFill="1" applyBorder="1" applyAlignment="1">
      <alignment horizontal="left" vertical="center" wrapText="1"/>
    </xf>
    <xf numFmtId="4" fontId="6" fillId="3" borderId="7" xfId="0" applyNumberFormat="1" applyFont="1" applyFill="1" applyBorder="1" applyAlignment="1">
      <alignment horizontal="center" vertical="center"/>
    </xf>
    <xf numFmtId="4" fontId="6" fillId="3" borderId="8" xfId="0" applyNumberFormat="1" applyFont="1" applyFill="1" applyBorder="1" applyAlignment="1">
      <alignment horizontal="center" vertical="center"/>
    </xf>
    <xf numFmtId="167" fontId="6" fillId="18" borderId="9" xfId="0" applyNumberFormat="1" applyFont="1" applyFill="1" applyBorder="1" applyAlignment="1">
      <alignment horizontal="center" vertical="center"/>
    </xf>
    <xf numFmtId="167" fontId="6" fillId="18" borderId="8" xfId="0" applyNumberFormat="1" applyFont="1" applyFill="1" applyBorder="1" applyAlignment="1">
      <alignment horizontal="center" vertical="center"/>
    </xf>
    <xf numFmtId="0" fontId="6" fillId="18" borderId="9" xfId="0" applyFont="1" applyFill="1" applyBorder="1" applyAlignment="1">
      <alignment horizontal="center" vertical="center"/>
    </xf>
    <xf numFmtId="0" fontId="6" fillId="18" borderId="7" xfId="0" applyFont="1" applyFill="1" applyBorder="1" applyAlignment="1">
      <alignment horizontal="center" vertical="center"/>
    </xf>
    <xf numFmtId="0" fontId="6" fillId="18" borderId="8" xfId="0" applyFont="1" applyFill="1" applyBorder="1" applyAlignment="1">
      <alignment horizontal="center" vertical="center"/>
    </xf>
    <xf numFmtId="167" fontId="6" fillId="18" borderId="7" xfId="0" applyNumberFormat="1" applyFont="1" applyFill="1" applyBorder="1" applyAlignment="1">
      <alignment horizontal="center" vertical="center"/>
    </xf>
    <xf numFmtId="0" fontId="12" fillId="3" borderId="0" xfId="0" quotePrefix="1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3" xfId="0" quotePrefix="1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/>
    </xf>
    <xf numFmtId="2" fontId="6" fillId="3" borderId="9" xfId="1" applyNumberFormat="1" applyFont="1" applyFill="1" applyBorder="1" applyAlignment="1">
      <alignment horizontal="left" vertical="center" wrapText="1"/>
    </xf>
    <xf numFmtId="2" fontId="6" fillId="3" borderId="7" xfId="1" applyNumberFormat="1" applyFont="1" applyFill="1" applyBorder="1" applyAlignment="1">
      <alignment horizontal="left" vertical="center" wrapText="1"/>
    </xf>
    <xf numFmtId="2" fontId="6" fillId="3" borderId="8" xfId="1" applyNumberFormat="1" applyFont="1" applyFill="1" applyBorder="1" applyAlignment="1">
      <alignment horizontal="left" vertical="center" wrapText="1"/>
    </xf>
    <xf numFmtId="0" fontId="6" fillId="3" borderId="9" xfId="1" applyFont="1" applyFill="1" applyBorder="1" applyAlignment="1">
      <alignment horizontal="center" vertical="center"/>
    </xf>
    <xf numFmtId="170" fontId="6" fillId="3" borderId="9" xfId="1" applyNumberFormat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4" xfId="1" quotePrefix="1" applyFont="1" applyBorder="1" applyAlignment="1">
      <alignment horizontal="center" vertical="center" wrapText="1"/>
    </xf>
    <xf numFmtId="4" fontId="27" fillId="3" borderId="0" xfId="1" applyNumberFormat="1" applyFont="1" applyFill="1" applyBorder="1" applyAlignment="1">
      <alignment horizontal="center" vertical="center"/>
    </xf>
    <xf numFmtId="0" fontId="27" fillId="3" borderId="0" xfId="1" applyFont="1" applyFill="1" applyAlignment="1">
      <alignment horizontal="left" vertical="center"/>
    </xf>
    <xf numFmtId="4" fontId="6" fillId="3" borderId="8" xfId="1" applyNumberFormat="1" applyFont="1" applyFill="1" applyBorder="1" applyAlignment="1">
      <alignment horizontal="center" vertical="center"/>
    </xf>
    <xf numFmtId="4" fontId="6" fillId="3" borderId="9" xfId="5" applyNumberFormat="1" applyFont="1" applyFill="1" applyBorder="1" applyAlignment="1">
      <alignment horizontal="center" vertical="center"/>
    </xf>
    <xf numFmtId="4" fontId="6" fillId="3" borderId="8" xfId="5" applyNumberFormat="1" applyFont="1" applyFill="1" applyBorder="1" applyAlignment="1">
      <alignment horizontal="center" vertical="center"/>
    </xf>
    <xf numFmtId="4" fontId="6" fillId="3" borderId="7" xfId="1" applyNumberFormat="1" applyFont="1" applyFill="1" applyBorder="1" applyAlignment="1">
      <alignment horizontal="center" vertical="center"/>
    </xf>
    <xf numFmtId="4" fontId="6" fillId="3" borderId="7" xfId="5" applyNumberFormat="1" applyFont="1" applyFill="1" applyBorder="1" applyAlignment="1">
      <alignment horizontal="center" vertical="center"/>
    </xf>
    <xf numFmtId="0" fontId="7" fillId="3" borderId="0" xfId="1" quotePrefix="1" applyFont="1" applyFill="1" applyAlignment="1">
      <alignment horizontal="center" wrapText="1"/>
    </xf>
    <xf numFmtId="0" fontId="7" fillId="3" borderId="0" xfId="1" applyFont="1" applyFill="1" applyAlignment="1">
      <alignment horizontal="center" wrapText="1"/>
    </xf>
    <xf numFmtId="0" fontId="6" fillId="3" borderId="9" xfId="2" applyFont="1" applyFill="1" applyBorder="1" applyAlignment="1">
      <alignment horizontal="left" vertical="top" wrapText="1"/>
    </xf>
    <xf numFmtId="0" fontId="6" fillId="3" borderId="7" xfId="2" applyFont="1" applyFill="1" applyBorder="1" applyAlignment="1">
      <alignment horizontal="left" vertical="top" wrapText="1"/>
    </xf>
    <xf numFmtId="0" fontId="6" fillId="3" borderId="8" xfId="2" applyFont="1" applyFill="1" applyBorder="1" applyAlignment="1">
      <alignment horizontal="left" vertical="top" wrapText="1"/>
    </xf>
    <xf numFmtId="3" fontId="6" fillId="3" borderId="9" xfId="2" applyNumberFormat="1" applyFont="1" applyFill="1" applyBorder="1" applyAlignment="1">
      <alignment horizontal="center" vertical="center" wrapText="1"/>
    </xf>
    <xf numFmtId="3" fontId="6" fillId="3" borderId="7" xfId="2" applyNumberFormat="1" applyFont="1" applyFill="1" applyBorder="1" applyAlignment="1">
      <alignment horizontal="center" vertical="center" wrapText="1"/>
    </xf>
    <xf numFmtId="3" fontId="6" fillId="3" borderId="8" xfId="2" applyNumberFormat="1" applyFont="1" applyFill="1" applyBorder="1" applyAlignment="1">
      <alignment horizontal="center" vertical="center" wrapText="1"/>
    </xf>
    <xf numFmtId="171" fontId="6" fillId="18" borderId="9" xfId="2" applyNumberFormat="1" applyFont="1" applyFill="1" applyBorder="1" applyAlignment="1">
      <alignment horizontal="center" vertical="center" wrapText="1"/>
    </xf>
    <xf numFmtId="171" fontId="6" fillId="18" borderId="7" xfId="2" applyNumberFormat="1" applyFont="1" applyFill="1" applyBorder="1" applyAlignment="1">
      <alignment horizontal="center" vertical="center" wrapText="1"/>
    </xf>
    <xf numFmtId="171" fontId="6" fillId="18" borderId="8" xfId="2" applyNumberFormat="1" applyFont="1" applyFill="1" applyBorder="1" applyAlignment="1">
      <alignment horizontal="center" vertical="center" wrapText="1"/>
    </xf>
    <xf numFmtId="0" fontId="7" fillId="3" borderId="0" xfId="3" quotePrefix="1" applyFont="1" applyFill="1" applyAlignment="1">
      <alignment horizontal="center" wrapText="1"/>
    </xf>
    <xf numFmtId="0" fontId="7" fillId="3" borderId="0" xfId="3" applyFont="1" applyFill="1" applyAlignment="1">
      <alignment horizont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14" fillId="3" borderId="9" xfId="0" applyFont="1" applyFill="1" applyBorder="1" applyAlignment="1">
      <alignment horizontal="left" vertical="center" wrapText="1"/>
    </xf>
    <xf numFmtId="0" fontId="14" fillId="3" borderId="7" xfId="0" applyFont="1" applyFill="1" applyBorder="1" applyAlignment="1">
      <alignment horizontal="left" vertical="center" wrapText="1"/>
    </xf>
    <xf numFmtId="0" fontId="14" fillId="3" borderId="8" xfId="0" applyFont="1" applyFill="1" applyBorder="1" applyAlignment="1">
      <alignment horizontal="left" vertical="center" wrapText="1"/>
    </xf>
    <xf numFmtId="166" fontId="6" fillId="3" borderId="9" xfId="6" applyNumberFormat="1" applyFont="1" applyFill="1" applyBorder="1" applyAlignment="1">
      <alignment horizontal="center" vertical="center"/>
    </xf>
    <xf numFmtId="0" fontId="6" fillId="3" borderId="8" xfId="6" applyFont="1" applyFill="1" applyBorder="1" applyAlignment="1">
      <alignment horizontal="center" vertical="center"/>
    </xf>
    <xf numFmtId="166" fontId="6" fillId="3" borderId="2" xfId="6" applyNumberFormat="1" applyFont="1" applyFill="1" applyBorder="1" applyAlignment="1">
      <alignment horizontal="center" vertical="center"/>
    </xf>
    <xf numFmtId="0" fontId="6" fillId="3" borderId="2" xfId="6" applyFont="1" applyFill="1" applyBorder="1" applyAlignment="1">
      <alignment horizontal="center" vertical="center"/>
    </xf>
    <xf numFmtId="166" fontId="6" fillId="3" borderId="8" xfId="6" applyNumberFormat="1" applyFont="1" applyFill="1" applyBorder="1" applyAlignment="1">
      <alignment horizontal="center" vertical="center"/>
    </xf>
    <xf numFmtId="0" fontId="10" fillId="3" borderId="2" xfId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center"/>
    </xf>
    <xf numFmtId="0" fontId="7" fillId="3" borderId="0" xfId="1" quotePrefix="1" applyFont="1" applyFill="1" applyAlignment="1">
      <alignment horizontal="center"/>
    </xf>
    <xf numFmtId="0" fontId="6" fillId="11" borderId="4" xfId="1" applyFont="1" applyFill="1" applyBorder="1" applyAlignment="1">
      <alignment horizontal="center"/>
    </xf>
    <xf numFmtId="0" fontId="6" fillId="11" borderId="10" xfId="1" applyFont="1" applyFill="1" applyBorder="1" applyAlignment="1">
      <alignment horizontal="center"/>
    </xf>
    <xf numFmtId="0" fontId="6" fillId="11" borderId="5" xfId="1" applyFont="1" applyFill="1" applyBorder="1" applyAlignment="1">
      <alignment horizontal="center"/>
    </xf>
    <xf numFmtId="0" fontId="6" fillId="3" borderId="7" xfId="3" applyFont="1" applyFill="1" applyBorder="1" applyAlignment="1">
      <alignment horizontal="center" vertical="center" wrapText="1"/>
    </xf>
    <xf numFmtId="0" fontId="6" fillId="3" borderId="13" xfId="3" applyFont="1" applyFill="1" applyBorder="1" applyAlignment="1">
      <alignment horizontal="center" vertical="center" wrapText="1"/>
    </xf>
    <xf numFmtId="0" fontId="6" fillId="9" borderId="2" xfId="3" applyFont="1" applyFill="1" applyBorder="1" applyAlignment="1">
      <alignment horizontal="center" vertical="center" wrapText="1"/>
    </xf>
    <xf numFmtId="0" fontId="6" fillId="10" borderId="2" xfId="3" applyFont="1" applyFill="1" applyBorder="1" applyAlignment="1">
      <alignment horizontal="center" vertical="center" wrapText="1"/>
    </xf>
    <xf numFmtId="0" fontId="6" fillId="3" borderId="7" xfId="1" applyFont="1" applyFill="1" applyBorder="1" applyAlignment="1">
      <alignment horizontal="center" vertical="center" wrapText="1"/>
    </xf>
    <xf numFmtId="0" fontId="6" fillId="3" borderId="0" xfId="3" applyFont="1" applyFill="1" applyBorder="1" applyAlignment="1">
      <alignment horizontal="center" vertical="center" wrapText="1"/>
    </xf>
    <xf numFmtId="0" fontId="6" fillId="10" borderId="4" xfId="3" applyFont="1" applyFill="1" applyBorder="1" applyAlignment="1">
      <alignment horizontal="center" vertical="center" wrapText="1"/>
    </xf>
    <xf numFmtId="0" fontId="6" fillId="10" borderId="10" xfId="3" applyFont="1" applyFill="1" applyBorder="1" applyAlignment="1">
      <alignment horizontal="center" vertical="center" wrapText="1"/>
    </xf>
    <xf numFmtId="0" fontId="6" fillId="10" borderId="5" xfId="3" applyFont="1" applyFill="1" applyBorder="1" applyAlignment="1">
      <alignment horizontal="center" vertical="center" wrapText="1"/>
    </xf>
    <xf numFmtId="0" fontId="6" fillId="7" borderId="4" xfId="3" applyFont="1" applyFill="1" applyBorder="1" applyAlignment="1">
      <alignment horizontal="center" vertical="center" wrapText="1"/>
    </xf>
    <xf numFmtId="0" fontId="6" fillId="7" borderId="10" xfId="3" applyFont="1" applyFill="1" applyBorder="1" applyAlignment="1">
      <alignment horizontal="center" vertical="center" wrapText="1"/>
    </xf>
    <xf numFmtId="0" fontId="6" fillId="7" borderId="5" xfId="3" applyFont="1" applyFill="1" applyBorder="1" applyAlignment="1">
      <alignment horizontal="center" vertical="center" wrapText="1"/>
    </xf>
    <xf numFmtId="0" fontId="7" fillId="0" borderId="0" xfId="1" quotePrefix="1" applyFont="1" applyAlignment="1">
      <alignment horizontal="center" wrapText="1"/>
    </xf>
    <xf numFmtId="0" fontId="7" fillId="0" borderId="0" xfId="1" applyFont="1" applyAlignment="1">
      <alignment horizontal="center" wrapText="1"/>
    </xf>
    <xf numFmtId="0" fontId="6" fillId="0" borderId="2" xfId="1" applyFont="1" applyBorder="1" applyAlignment="1">
      <alignment horizontal="center" vertical="center"/>
    </xf>
    <xf numFmtId="4" fontId="6" fillId="0" borderId="9" xfId="1" applyNumberFormat="1" applyFont="1" applyBorder="1" applyAlignment="1">
      <alignment horizontal="center" vertical="center" wrapText="1"/>
    </xf>
    <xf numFmtId="4" fontId="6" fillId="0" borderId="8" xfId="1" applyNumberFormat="1" applyFont="1" applyBorder="1" applyAlignment="1">
      <alignment horizontal="center" vertical="center" wrapText="1"/>
    </xf>
    <xf numFmtId="4" fontId="6" fillId="0" borderId="4" xfId="1" applyNumberFormat="1" applyFont="1" applyBorder="1" applyAlignment="1">
      <alignment horizontal="center" vertical="center" wrapText="1"/>
    </xf>
    <xf numFmtId="4" fontId="6" fillId="0" borderId="5" xfId="1" applyNumberFormat="1" applyFont="1" applyBorder="1" applyAlignment="1">
      <alignment horizontal="center" vertical="center" wrapText="1"/>
    </xf>
    <xf numFmtId="0" fontId="7" fillId="0" borderId="2" xfId="14" applyFont="1" applyBorder="1" applyAlignment="1">
      <alignment horizontal="center" vertical="center" wrapText="1"/>
    </xf>
    <xf numFmtId="0" fontId="7" fillId="0" borderId="2" xfId="14" applyFont="1" applyBorder="1" applyAlignment="1">
      <alignment horizontal="center" vertical="center"/>
    </xf>
    <xf numFmtId="0" fontId="7" fillId="0" borderId="2" xfId="14" applyFont="1" applyFill="1" applyBorder="1" applyAlignment="1">
      <alignment horizontal="center" vertical="center"/>
    </xf>
    <xf numFmtId="0" fontId="5" fillId="0" borderId="0" xfId="14" applyFont="1" applyFill="1" applyAlignment="1">
      <alignment horizontal="left"/>
    </xf>
    <xf numFmtId="0" fontId="6" fillId="2" borderId="13" xfId="3" applyFont="1" applyFill="1" applyBorder="1" applyAlignment="1">
      <alignment horizontal="center"/>
    </xf>
    <xf numFmtId="0" fontId="6" fillId="5" borderId="13" xfId="3" quotePrefix="1" applyFont="1" applyFill="1" applyBorder="1" applyAlignment="1">
      <alignment horizontal="center" vertical="center" wrapText="1"/>
    </xf>
    <xf numFmtId="0" fontId="6" fillId="5" borderId="13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6" fillId="4" borderId="2" xfId="3" applyFont="1" applyFill="1" applyBorder="1" applyAlignment="1">
      <alignment horizontal="center" vertical="center" wrapText="1"/>
    </xf>
    <xf numFmtId="0" fontId="6" fillId="4" borderId="9" xfId="3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6" fillId="3" borderId="4" xfId="3" applyFont="1" applyFill="1" applyBorder="1" applyAlignment="1">
      <alignment horizontal="center" vertical="center" wrapText="1"/>
    </xf>
    <xf numFmtId="0" fontId="6" fillId="3" borderId="10" xfId="3" applyFont="1" applyFill="1" applyBorder="1" applyAlignment="1">
      <alignment horizontal="center" vertical="center" wrapText="1"/>
    </xf>
    <xf numFmtId="0" fontId="6" fillId="3" borderId="5" xfId="3" applyFont="1" applyFill="1" applyBorder="1" applyAlignment="1">
      <alignment horizontal="center" vertical="center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6" fillId="3" borderId="12" xfId="3" applyFont="1" applyFill="1" applyBorder="1" applyAlignment="1">
      <alignment horizontal="center" vertical="center" wrapText="1"/>
    </xf>
    <xf numFmtId="0" fontId="6" fillId="3" borderId="15" xfId="3" applyFont="1" applyFill="1" applyBorder="1" applyAlignment="1">
      <alignment horizontal="center" vertical="center" wrapText="1"/>
    </xf>
    <xf numFmtId="0" fontId="6" fillId="3" borderId="1" xfId="3" applyFont="1" applyFill="1" applyBorder="1" applyAlignment="1">
      <alignment horizontal="center" vertical="center" wrapText="1"/>
    </xf>
    <xf numFmtId="0" fontId="6" fillId="3" borderId="3" xfId="3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/>
    </xf>
    <xf numFmtId="0" fontId="6" fillId="0" borderId="2" xfId="0" quotePrefix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2" fillId="3" borderId="2" xfId="3" applyFont="1" applyFill="1" applyBorder="1" applyAlignment="1">
      <alignment horizontal="center" vertical="center" wrapText="1"/>
    </xf>
    <xf numFmtId="0" fontId="7" fillId="4" borderId="2" xfId="3" applyFont="1" applyFill="1" applyBorder="1" applyAlignment="1">
      <alignment horizontal="center" vertical="center" wrapText="1"/>
    </xf>
    <xf numFmtId="0" fontId="12" fillId="3" borderId="4" xfId="3" applyFont="1" applyFill="1" applyBorder="1" applyAlignment="1">
      <alignment horizontal="center" vertical="center" wrapText="1"/>
    </xf>
    <xf numFmtId="0" fontId="12" fillId="3" borderId="10" xfId="3" applyFont="1" applyFill="1" applyBorder="1" applyAlignment="1">
      <alignment horizontal="center" vertical="center" wrapText="1"/>
    </xf>
    <xf numFmtId="0" fontId="12" fillId="3" borderId="5" xfId="3" applyFont="1" applyFill="1" applyBorder="1" applyAlignment="1">
      <alignment horizontal="center" vertical="center" wrapText="1"/>
    </xf>
    <xf numFmtId="0" fontId="7" fillId="4" borderId="9" xfId="3" applyFont="1" applyFill="1" applyBorder="1" applyAlignment="1">
      <alignment horizontal="center" vertical="center" wrapText="1"/>
    </xf>
    <xf numFmtId="0" fontId="7" fillId="4" borderId="8" xfId="3" applyFont="1" applyFill="1" applyBorder="1" applyAlignment="1">
      <alignment horizontal="center" vertical="center" wrapText="1"/>
    </xf>
    <xf numFmtId="0" fontId="14" fillId="9" borderId="9" xfId="0" quotePrefix="1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19" fillId="9" borderId="4" xfId="0" applyFont="1" applyFill="1" applyBorder="1" applyAlignment="1">
      <alignment horizontal="center" vertical="center" wrapText="1"/>
    </xf>
    <xf numFmtId="0" fontId="19" fillId="9" borderId="10" xfId="0" applyFont="1" applyFill="1" applyBorder="1" applyAlignment="1">
      <alignment horizontal="center" vertical="center" wrapText="1"/>
    </xf>
    <xf numFmtId="0" fontId="19" fillId="9" borderId="5" xfId="0" applyFont="1" applyFill="1" applyBorder="1" applyAlignment="1">
      <alignment horizontal="center" vertical="center" wrapText="1"/>
    </xf>
    <xf numFmtId="0" fontId="14" fillId="9" borderId="4" xfId="0" applyFont="1" applyFill="1" applyBorder="1" applyAlignment="1">
      <alignment horizontal="center" vertical="center" wrapText="1"/>
    </xf>
    <xf numFmtId="0" fontId="14" fillId="9" borderId="10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2" fillId="9" borderId="9" xfId="0" applyFont="1" applyFill="1" applyBorder="1" applyAlignment="1">
      <alignment horizontal="center" vertical="center" wrapText="1"/>
    </xf>
    <xf numFmtId="0" fontId="12" fillId="9" borderId="8" xfId="0" applyFont="1" applyFill="1" applyBorder="1" applyAlignment="1">
      <alignment horizontal="center" vertical="center" wrapText="1"/>
    </xf>
    <xf numFmtId="0" fontId="14" fillId="9" borderId="9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14" xfId="0" applyFont="1" applyFill="1" applyBorder="1" applyAlignment="1">
      <alignment horizontal="center" vertical="center" wrapText="1"/>
    </xf>
    <xf numFmtId="0" fontId="14" fillId="9" borderId="15" xfId="0" applyFont="1" applyFill="1" applyBorder="1" applyAlignment="1">
      <alignment horizontal="center" vertical="center" wrapText="1"/>
    </xf>
    <xf numFmtId="0" fontId="12" fillId="0" borderId="0" xfId="0" quotePrefix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4" fillId="0" borderId="9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12" fillId="0" borderId="0" xfId="0" quotePrefix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</cellXfs>
  <cellStyles count="21">
    <cellStyle name="Гиперссылка" xfId="15" builtinId="8"/>
    <cellStyle name="Обычный" xfId="0" builtinId="0"/>
    <cellStyle name="Обычный 2" xfId="1"/>
    <cellStyle name="Обычный 3" xfId="3"/>
    <cellStyle name="Обычный 3 4" xfId="14"/>
    <cellStyle name="Обычный 4" xfId="6"/>
    <cellStyle name="Обычный 5" xfId="18"/>
    <cellStyle name="Обычный 6" xfId="19"/>
    <cellStyle name="Обычный 7" xfId="20"/>
    <cellStyle name="Обычный_221ст. 1группа" xfId="2"/>
    <cellStyle name="Обычный_221ст. 1группа 2" xfId="9"/>
    <cellStyle name="Обычный_Бюджет 1 группа 2012" xfId="17"/>
    <cellStyle name="Обычный_Зем. налог за 2006." xfId="12"/>
    <cellStyle name="Обычный_Канцтовары" xfId="10"/>
    <cellStyle name="Обычный_Нормы пит-я 01.01.07(для НПБФ)" xfId="13"/>
    <cellStyle name="Процентный 2" xfId="7"/>
    <cellStyle name="Финансовый" xfId="11" builtinId="3"/>
    <cellStyle name="Финансовый 2" xfId="4"/>
    <cellStyle name="Финансовый 3" xfId="8"/>
    <cellStyle name="Финансовый 3 2" xfId="16"/>
    <cellStyle name="Финансовый 4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1;&#1088;&#1072;&#1078;&#1085;&#1080;&#1082;&#1086;&#1074;&#1072;%20&#1045;.&#1053;\&#1041;&#1102;&#1076;&#1078;&#1077;&#1090;\&#1041;&#1102;&#1076;&#1078;&#1077;&#1090;%202022&#1075;%20&#1044;&#1054;&#1054;%202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сленность"/>
      <sheetName val="Исходные данные"/>
      <sheetName val="Анализ ком.объемов"/>
      <sheetName val="Электроэнергия"/>
      <sheetName val="Теплоснабжение"/>
      <sheetName val="Водопотребление"/>
      <sheetName val="Водоотведение"/>
      <sheetName val="Выгреб"/>
      <sheetName val="ЖБО"/>
      <sheetName val="ТКО"/>
      <sheetName val="Негат.воздействие"/>
      <sheetName val="Дератизация, дезинсекция"/>
      <sheetName val="Аутсорсинг"/>
      <sheetName val="Тех. обсл. газ. сетей"/>
      <sheetName val="Обслуживание груз. лифта"/>
      <sheetName val="Уборка снега"/>
      <sheetName val="Обслуживание АПС"/>
      <sheetName val="Видеонаблюдение"/>
      <sheetName val="Прибор объектовый оконечный"/>
      <sheetName val="Заправка огнетушителей"/>
      <sheetName val="Услуги связи"/>
      <sheetName val="Антивирус"/>
      <sheetName val="Обслуживание КТС"/>
      <sheetName val="Абон. плата охраны по КТС"/>
      <sheetName val="Подписка"/>
      <sheetName val="Лабораторные исследования"/>
      <sheetName val="Охрана"/>
      <sheetName val="Медосмотры"/>
      <sheetName val="Канцтовары"/>
      <sheetName val="Хозрасходы"/>
      <sheetName val="Моющие"/>
      <sheetName val="Мягкий инвентарь"/>
      <sheetName val="Питание норматив"/>
      <sheetName val="Питание"/>
      <sheetName val="Родительская плата "/>
      <sheetName val="Налог на имущество"/>
      <sheetName val="Налог на землю"/>
      <sheetName val="ОХ2022"/>
      <sheetName val="Налоги 2022"/>
      <sheetName val="БН реализация 2022"/>
      <sheetName val="БН присмотр 2022"/>
      <sheetName val="Общий 2022"/>
      <sheetName val="Налоги 2023"/>
      <sheetName val="БН реализация 2023"/>
      <sheetName val="БН присмотр 2023"/>
      <sheetName val="Общий 2023"/>
      <sheetName val="Налоги 2024"/>
      <sheetName val="БН Реализация 2024"/>
      <sheetName val="БН присмотр 2024"/>
      <sheetName val="Общий 2024"/>
      <sheetName val="Коэффициенты"/>
      <sheetName val="Результаты расчетов"/>
      <sheetName val="анализ"/>
      <sheetName val="анализ общехоз.расходов"/>
      <sheetName val="Норматив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8">
          <cell r="D38">
            <v>26429</v>
          </cell>
          <cell r="G38">
            <v>31369</v>
          </cell>
        </row>
      </sheetData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R15"/>
  <sheetViews>
    <sheetView zoomScale="110" zoomScaleNormal="110" workbookViewId="0">
      <selection activeCell="P14" sqref="P14"/>
    </sheetView>
  </sheetViews>
  <sheetFormatPr defaultRowHeight="12.75" x14ac:dyDescent="0.2"/>
  <cols>
    <col min="1" max="1" width="4.42578125" style="30" customWidth="1"/>
    <col min="2" max="2" width="36.5703125" style="30" customWidth="1"/>
    <col min="3" max="3" width="12.7109375" style="30" customWidth="1"/>
    <col min="4" max="4" width="15.5703125" style="30" customWidth="1"/>
    <col min="5" max="5" width="7.28515625" style="30" customWidth="1"/>
    <col min="6" max="6" width="7.7109375" style="30" customWidth="1"/>
    <col min="7" max="7" width="8.85546875" style="30" customWidth="1"/>
    <col min="8" max="8" width="9.140625" style="30" customWidth="1"/>
    <col min="9" max="9" width="9" style="30" customWidth="1"/>
    <col min="10" max="12" width="9.140625" style="30" customWidth="1"/>
    <col min="13" max="13" width="11.28515625" style="30" customWidth="1"/>
    <col min="14" max="14" width="11.85546875" style="30" customWidth="1"/>
    <col min="15" max="15" width="11.28515625" style="30" customWidth="1"/>
    <col min="16" max="16" width="10.28515625" style="30" customWidth="1"/>
    <col min="17" max="17" width="9.5703125" style="30" customWidth="1"/>
    <col min="18" max="18" width="15.85546875" style="30" customWidth="1"/>
    <col min="19" max="251" width="9.140625" style="30"/>
    <col min="252" max="252" width="19.28515625" style="30" customWidth="1"/>
    <col min="253" max="253" width="10.28515625" style="30" customWidth="1"/>
    <col min="254" max="255" width="10" style="30" customWidth="1"/>
    <col min="256" max="256" width="10.5703125" style="30" customWidth="1"/>
    <col min="257" max="257" width="12.28515625" style="30" customWidth="1"/>
    <col min="258" max="258" width="13.28515625" style="30" customWidth="1"/>
    <col min="259" max="259" width="15.42578125" style="30" customWidth="1"/>
    <col min="260" max="260" width="15" style="30" customWidth="1"/>
    <col min="261" max="261" width="14.5703125" style="30" customWidth="1"/>
    <col min="262" max="262" width="14.140625" style="30" customWidth="1"/>
    <col min="263" max="507" width="9.140625" style="30"/>
    <col min="508" max="508" width="19.28515625" style="30" customWidth="1"/>
    <col min="509" max="509" width="10.28515625" style="30" customWidth="1"/>
    <col min="510" max="511" width="10" style="30" customWidth="1"/>
    <col min="512" max="512" width="10.5703125" style="30" customWidth="1"/>
    <col min="513" max="513" width="12.28515625" style="30" customWidth="1"/>
    <col min="514" max="514" width="13.28515625" style="30" customWidth="1"/>
    <col min="515" max="515" width="15.42578125" style="30" customWidth="1"/>
    <col min="516" max="516" width="15" style="30" customWidth="1"/>
    <col min="517" max="517" width="14.5703125" style="30" customWidth="1"/>
    <col min="518" max="518" width="14.140625" style="30" customWidth="1"/>
    <col min="519" max="763" width="9.140625" style="30"/>
    <col min="764" max="764" width="19.28515625" style="30" customWidth="1"/>
    <col min="765" max="765" width="10.28515625" style="30" customWidth="1"/>
    <col min="766" max="767" width="10" style="30" customWidth="1"/>
    <col min="768" max="768" width="10.5703125" style="30" customWidth="1"/>
    <col min="769" max="769" width="12.28515625" style="30" customWidth="1"/>
    <col min="770" max="770" width="13.28515625" style="30" customWidth="1"/>
    <col min="771" max="771" width="15.42578125" style="30" customWidth="1"/>
    <col min="772" max="772" width="15" style="30" customWidth="1"/>
    <col min="773" max="773" width="14.5703125" style="30" customWidth="1"/>
    <col min="774" max="774" width="14.140625" style="30" customWidth="1"/>
    <col min="775" max="1019" width="9.140625" style="30"/>
    <col min="1020" max="1020" width="19.28515625" style="30" customWidth="1"/>
    <col min="1021" max="1021" width="10.28515625" style="30" customWidth="1"/>
    <col min="1022" max="1023" width="10" style="30" customWidth="1"/>
    <col min="1024" max="1024" width="10.5703125" style="30" customWidth="1"/>
    <col min="1025" max="1025" width="12.28515625" style="30" customWidth="1"/>
    <col min="1026" max="1026" width="13.28515625" style="30" customWidth="1"/>
    <col min="1027" max="1027" width="15.42578125" style="30" customWidth="1"/>
    <col min="1028" max="1028" width="15" style="30" customWidth="1"/>
    <col min="1029" max="1029" width="14.5703125" style="30" customWidth="1"/>
    <col min="1030" max="1030" width="14.140625" style="30" customWidth="1"/>
    <col min="1031" max="1275" width="9.140625" style="30"/>
    <col min="1276" max="1276" width="19.28515625" style="30" customWidth="1"/>
    <col min="1277" max="1277" width="10.28515625" style="30" customWidth="1"/>
    <col min="1278" max="1279" width="10" style="30" customWidth="1"/>
    <col min="1280" max="1280" width="10.5703125" style="30" customWidth="1"/>
    <col min="1281" max="1281" width="12.28515625" style="30" customWidth="1"/>
    <col min="1282" max="1282" width="13.28515625" style="30" customWidth="1"/>
    <col min="1283" max="1283" width="15.42578125" style="30" customWidth="1"/>
    <col min="1284" max="1284" width="15" style="30" customWidth="1"/>
    <col min="1285" max="1285" width="14.5703125" style="30" customWidth="1"/>
    <col min="1286" max="1286" width="14.140625" style="30" customWidth="1"/>
    <col min="1287" max="1531" width="9.140625" style="30"/>
    <col min="1532" max="1532" width="19.28515625" style="30" customWidth="1"/>
    <col min="1533" max="1533" width="10.28515625" style="30" customWidth="1"/>
    <col min="1534" max="1535" width="10" style="30" customWidth="1"/>
    <col min="1536" max="1536" width="10.5703125" style="30" customWidth="1"/>
    <col min="1537" max="1537" width="12.28515625" style="30" customWidth="1"/>
    <col min="1538" max="1538" width="13.28515625" style="30" customWidth="1"/>
    <col min="1539" max="1539" width="15.42578125" style="30" customWidth="1"/>
    <col min="1540" max="1540" width="15" style="30" customWidth="1"/>
    <col min="1541" max="1541" width="14.5703125" style="30" customWidth="1"/>
    <col min="1542" max="1542" width="14.140625" style="30" customWidth="1"/>
    <col min="1543" max="1787" width="9.140625" style="30"/>
    <col min="1788" max="1788" width="19.28515625" style="30" customWidth="1"/>
    <col min="1789" max="1789" width="10.28515625" style="30" customWidth="1"/>
    <col min="1790" max="1791" width="10" style="30" customWidth="1"/>
    <col min="1792" max="1792" width="10.5703125" style="30" customWidth="1"/>
    <col min="1793" max="1793" width="12.28515625" style="30" customWidth="1"/>
    <col min="1794" max="1794" width="13.28515625" style="30" customWidth="1"/>
    <col min="1795" max="1795" width="15.42578125" style="30" customWidth="1"/>
    <col min="1796" max="1796" width="15" style="30" customWidth="1"/>
    <col min="1797" max="1797" width="14.5703125" style="30" customWidth="1"/>
    <col min="1798" max="1798" width="14.140625" style="30" customWidth="1"/>
    <col min="1799" max="2043" width="9.140625" style="30"/>
    <col min="2044" max="2044" width="19.28515625" style="30" customWidth="1"/>
    <col min="2045" max="2045" width="10.28515625" style="30" customWidth="1"/>
    <col min="2046" max="2047" width="10" style="30" customWidth="1"/>
    <col min="2048" max="2048" width="10.5703125" style="30" customWidth="1"/>
    <col min="2049" max="2049" width="12.28515625" style="30" customWidth="1"/>
    <col min="2050" max="2050" width="13.28515625" style="30" customWidth="1"/>
    <col min="2051" max="2051" width="15.42578125" style="30" customWidth="1"/>
    <col min="2052" max="2052" width="15" style="30" customWidth="1"/>
    <col min="2053" max="2053" width="14.5703125" style="30" customWidth="1"/>
    <col min="2054" max="2054" width="14.140625" style="30" customWidth="1"/>
    <col min="2055" max="2299" width="9.140625" style="30"/>
    <col min="2300" max="2300" width="19.28515625" style="30" customWidth="1"/>
    <col min="2301" max="2301" width="10.28515625" style="30" customWidth="1"/>
    <col min="2302" max="2303" width="10" style="30" customWidth="1"/>
    <col min="2304" max="2304" width="10.5703125" style="30" customWidth="1"/>
    <col min="2305" max="2305" width="12.28515625" style="30" customWidth="1"/>
    <col min="2306" max="2306" width="13.28515625" style="30" customWidth="1"/>
    <col min="2307" max="2307" width="15.42578125" style="30" customWidth="1"/>
    <col min="2308" max="2308" width="15" style="30" customWidth="1"/>
    <col min="2309" max="2309" width="14.5703125" style="30" customWidth="1"/>
    <col min="2310" max="2310" width="14.140625" style="30" customWidth="1"/>
    <col min="2311" max="2555" width="9.140625" style="30"/>
    <col min="2556" max="2556" width="19.28515625" style="30" customWidth="1"/>
    <col min="2557" max="2557" width="10.28515625" style="30" customWidth="1"/>
    <col min="2558" max="2559" width="10" style="30" customWidth="1"/>
    <col min="2560" max="2560" width="10.5703125" style="30" customWidth="1"/>
    <col min="2561" max="2561" width="12.28515625" style="30" customWidth="1"/>
    <col min="2562" max="2562" width="13.28515625" style="30" customWidth="1"/>
    <col min="2563" max="2563" width="15.42578125" style="30" customWidth="1"/>
    <col min="2564" max="2564" width="15" style="30" customWidth="1"/>
    <col min="2565" max="2565" width="14.5703125" style="30" customWidth="1"/>
    <col min="2566" max="2566" width="14.140625" style="30" customWidth="1"/>
    <col min="2567" max="2811" width="9.140625" style="30"/>
    <col min="2812" max="2812" width="19.28515625" style="30" customWidth="1"/>
    <col min="2813" max="2813" width="10.28515625" style="30" customWidth="1"/>
    <col min="2814" max="2815" width="10" style="30" customWidth="1"/>
    <col min="2816" max="2816" width="10.5703125" style="30" customWidth="1"/>
    <col min="2817" max="2817" width="12.28515625" style="30" customWidth="1"/>
    <col min="2818" max="2818" width="13.28515625" style="30" customWidth="1"/>
    <col min="2819" max="2819" width="15.42578125" style="30" customWidth="1"/>
    <col min="2820" max="2820" width="15" style="30" customWidth="1"/>
    <col min="2821" max="2821" width="14.5703125" style="30" customWidth="1"/>
    <col min="2822" max="2822" width="14.140625" style="30" customWidth="1"/>
    <col min="2823" max="3067" width="9.140625" style="30"/>
    <col min="3068" max="3068" width="19.28515625" style="30" customWidth="1"/>
    <col min="3069" max="3069" width="10.28515625" style="30" customWidth="1"/>
    <col min="3070" max="3071" width="10" style="30" customWidth="1"/>
    <col min="3072" max="3072" width="10.5703125" style="30" customWidth="1"/>
    <col min="3073" max="3073" width="12.28515625" style="30" customWidth="1"/>
    <col min="3074" max="3074" width="13.28515625" style="30" customWidth="1"/>
    <col min="3075" max="3075" width="15.42578125" style="30" customWidth="1"/>
    <col min="3076" max="3076" width="15" style="30" customWidth="1"/>
    <col min="3077" max="3077" width="14.5703125" style="30" customWidth="1"/>
    <col min="3078" max="3078" width="14.140625" style="30" customWidth="1"/>
    <col min="3079" max="3323" width="9.140625" style="30"/>
    <col min="3324" max="3324" width="19.28515625" style="30" customWidth="1"/>
    <col min="3325" max="3325" width="10.28515625" style="30" customWidth="1"/>
    <col min="3326" max="3327" width="10" style="30" customWidth="1"/>
    <col min="3328" max="3328" width="10.5703125" style="30" customWidth="1"/>
    <col min="3329" max="3329" width="12.28515625" style="30" customWidth="1"/>
    <col min="3330" max="3330" width="13.28515625" style="30" customWidth="1"/>
    <col min="3331" max="3331" width="15.42578125" style="30" customWidth="1"/>
    <col min="3332" max="3332" width="15" style="30" customWidth="1"/>
    <col min="3333" max="3333" width="14.5703125" style="30" customWidth="1"/>
    <col min="3334" max="3334" width="14.140625" style="30" customWidth="1"/>
    <col min="3335" max="3579" width="9.140625" style="30"/>
    <col min="3580" max="3580" width="19.28515625" style="30" customWidth="1"/>
    <col min="3581" max="3581" width="10.28515625" style="30" customWidth="1"/>
    <col min="3582" max="3583" width="10" style="30" customWidth="1"/>
    <col min="3584" max="3584" width="10.5703125" style="30" customWidth="1"/>
    <col min="3585" max="3585" width="12.28515625" style="30" customWidth="1"/>
    <col min="3586" max="3586" width="13.28515625" style="30" customWidth="1"/>
    <col min="3587" max="3587" width="15.42578125" style="30" customWidth="1"/>
    <col min="3588" max="3588" width="15" style="30" customWidth="1"/>
    <col min="3589" max="3589" width="14.5703125" style="30" customWidth="1"/>
    <col min="3590" max="3590" width="14.140625" style="30" customWidth="1"/>
    <col min="3591" max="3835" width="9.140625" style="30"/>
    <col min="3836" max="3836" width="19.28515625" style="30" customWidth="1"/>
    <col min="3837" max="3837" width="10.28515625" style="30" customWidth="1"/>
    <col min="3838" max="3839" width="10" style="30" customWidth="1"/>
    <col min="3840" max="3840" width="10.5703125" style="30" customWidth="1"/>
    <col min="3841" max="3841" width="12.28515625" style="30" customWidth="1"/>
    <col min="3842" max="3842" width="13.28515625" style="30" customWidth="1"/>
    <col min="3843" max="3843" width="15.42578125" style="30" customWidth="1"/>
    <col min="3844" max="3844" width="15" style="30" customWidth="1"/>
    <col min="3845" max="3845" width="14.5703125" style="30" customWidth="1"/>
    <col min="3846" max="3846" width="14.140625" style="30" customWidth="1"/>
    <col min="3847" max="4091" width="9.140625" style="30"/>
    <col min="4092" max="4092" width="19.28515625" style="30" customWidth="1"/>
    <col min="4093" max="4093" width="10.28515625" style="30" customWidth="1"/>
    <col min="4094" max="4095" width="10" style="30" customWidth="1"/>
    <col min="4096" max="4096" width="10.5703125" style="30" customWidth="1"/>
    <col min="4097" max="4097" width="12.28515625" style="30" customWidth="1"/>
    <col min="4098" max="4098" width="13.28515625" style="30" customWidth="1"/>
    <col min="4099" max="4099" width="15.42578125" style="30" customWidth="1"/>
    <col min="4100" max="4100" width="15" style="30" customWidth="1"/>
    <col min="4101" max="4101" width="14.5703125" style="30" customWidth="1"/>
    <col min="4102" max="4102" width="14.140625" style="30" customWidth="1"/>
    <col min="4103" max="4347" width="9.140625" style="30"/>
    <col min="4348" max="4348" width="19.28515625" style="30" customWidth="1"/>
    <col min="4349" max="4349" width="10.28515625" style="30" customWidth="1"/>
    <col min="4350" max="4351" width="10" style="30" customWidth="1"/>
    <col min="4352" max="4352" width="10.5703125" style="30" customWidth="1"/>
    <col min="4353" max="4353" width="12.28515625" style="30" customWidth="1"/>
    <col min="4354" max="4354" width="13.28515625" style="30" customWidth="1"/>
    <col min="4355" max="4355" width="15.42578125" style="30" customWidth="1"/>
    <col min="4356" max="4356" width="15" style="30" customWidth="1"/>
    <col min="4357" max="4357" width="14.5703125" style="30" customWidth="1"/>
    <col min="4358" max="4358" width="14.140625" style="30" customWidth="1"/>
    <col min="4359" max="4603" width="9.140625" style="30"/>
    <col min="4604" max="4604" width="19.28515625" style="30" customWidth="1"/>
    <col min="4605" max="4605" width="10.28515625" style="30" customWidth="1"/>
    <col min="4606" max="4607" width="10" style="30" customWidth="1"/>
    <col min="4608" max="4608" width="10.5703125" style="30" customWidth="1"/>
    <col min="4609" max="4609" width="12.28515625" style="30" customWidth="1"/>
    <col min="4610" max="4610" width="13.28515625" style="30" customWidth="1"/>
    <col min="4611" max="4611" width="15.42578125" style="30" customWidth="1"/>
    <col min="4612" max="4612" width="15" style="30" customWidth="1"/>
    <col min="4613" max="4613" width="14.5703125" style="30" customWidth="1"/>
    <col min="4614" max="4614" width="14.140625" style="30" customWidth="1"/>
    <col min="4615" max="4859" width="9.140625" style="30"/>
    <col min="4860" max="4860" width="19.28515625" style="30" customWidth="1"/>
    <col min="4861" max="4861" width="10.28515625" style="30" customWidth="1"/>
    <col min="4862" max="4863" width="10" style="30" customWidth="1"/>
    <col min="4864" max="4864" width="10.5703125" style="30" customWidth="1"/>
    <col min="4865" max="4865" width="12.28515625" style="30" customWidth="1"/>
    <col min="4866" max="4866" width="13.28515625" style="30" customWidth="1"/>
    <col min="4867" max="4867" width="15.42578125" style="30" customWidth="1"/>
    <col min="4868" max="4868" width="15" style="30" customWidth="1"/>
    <col min="4869" max="4869" width="14.5703125" style="30" customWidth="1"/>
    <col min="4870" max="4870" width="14.140625" style="30" customWidth="1"/>
    <col min="4871" max="5115" width="9.140625" style="30"/>
    <col min="5116" max="5116" width="19.28515625" style="30" customWidth="1"/>
    <col min="5117" max="5117" width="10.28515625" style="30" customWidth="1"/>
    <col min="5118" max="5119" width="10" style="30" customWidth="1"/>
    <col min="5120" max="5120" width="10.5703125" style="30" customWidth="1"/>
    <col min="5121" max="5121" width="12.28515625" style="30" customWidth="1"/>
    <col min="5122" max="5122" width="13.28515625" style="30" customWidth="1"/>
    <col min="5123" max="5123" width="15.42578125" style="30" customWidth="1"/>
    <col min="5124" max="5124" width="15" style="30" customWidth="1"/>
    <col min="5125" max="5125" width="14.5703125" style="30" customWidth="1"/>
    <col min="5126" max="5126" width="14.140625" style="30" customWidth="1"/>
    <col min="5127" max="5371" width="9.140625" style="30"/>
    <col min="5372" max="5372" width="19.28515625" style="30" customWidth="1"/>
    <col min="5373" max="5373" width="10.28515625" style="30" customWidth="1"/>
    <col min="5374" max="5375" width="10" style="30" customWidth="1"/>
    <col min="5376" max="5376" width="10.5703125" style="30" customWidth="1"/>
    <col min="5377" max="5377" width="12.28515625" style="30" customWidth="1"/>
    <col min="5378" max="5378" width="13.28515625" style="30" customWidth="1"/>
    <col min="5379" max="5379" width="15.42578125" style="30" customWidth="1"/>
    <col min="5380" max="5380" width="15" style="30" customWidth="1"/>
    <col min="5381" max="5381" width="14.5703125" style="30" customWidth="1"/>
    <col min="5382" max="5382" width="14.140625" style="30" customWidth="1"/>
    <col min="5383" max="5627" width="9.140625" style="30"/>
    <col min="5628" max="5628" width="19.28515625" style="30" customWidth="1"/>
    <col min="5629" max="5629" width="10.28515625" style="30" customWidth="1"/>
    <col min="5630" max="5631" width="10" style="30" customWidth="1"/>
    <col min="5632" max="5632" width="10.5703125" style="30" customWidth="1"/>
    <col min="5633" max="5633" width="12.28515625" style="30" customWidth="1"/>
    <col min="5634" max="5634" width="13.28515625" style="30" customWidth="1"/>
    <col min="5635" max="5635" width="15.42578125" style="30" customWidth="1"/>
    <col min="5636" max="5636" width="15" style="30" customWidth="1"/>
    <col min="5637" max="5637" width="14.5703125" style="30" customWidth="1"/>
    <col min="5638" max="5638" width="14.140625" style="30" customWidth="1"/>
    <col min="5639" max="5883" width="9.140625" style="30"/>
    <col min="5884" max="5884" width="19.28515625" style="30" customWidth="1"/>
    <col min="5885" max="5885" width="10.28515625" style="30" customWidth="1"/>
    <col min="5886" max="5887" width="10" style="30" customWidth="1"/>
    <col min="5888" max="5888" width="10.5703125" style="30" customWidth="1"/>
    <col min="5889" max="5889" width="12.28515625" style="30" customWidth="1"/>
    <col min="5890" max="5890" width="13.28515625" style="30" customWidth="1"/>
    <col min="5891" max="5891" width="15.42578125" style="30" customWidth="1"/>
    <col min="5892" max="5892" width="15" style="30" customWidth="1"/>
    <col min="5893" max="5893" width="14.5703125" style="30" customWidth="1"/>
    <col min="5894" max="5894" width="14.140625" style="30" customWidth="1"/>
    <col min="5895" max="6139" width="9.140625" style="30"/>
    <col min="6140" max="6140" width="19.28515625" style="30" customWidth="1"/>
    <col min="6141" max="6141" width="10.28515625" style="30" customWidth="1"/>
    <col min="6142" max="6143" width="10" style="30" customWidth="1"/>
    <col min="6144" max="6144" width="10.5703125" style="30" customWidth="1"/>
    <col min="6145" max="6145" width="12.28515625" style="30" customWidth="1"/>
    <col min="6146" max="6146" width="13.28515625" style="30" customWidth="1"/>
    <col min="6147" max="6147" width="15.42578125" style="30" customWidth="1"/>
    <col min="6148" max="6148" width="15" style="30" customWidth="1"/>
    <col min="6149" max="6149" width="14.5703125" style="30" customWidth="1"/>
    <col min="6150" max="6150" width="14.140625" style="30" customWidth="1"/>
    <col min="6151" max="6395" width="9.140625" style="30"/>
    <col min="6396" max="6396" width="19.28515625" style="30" customWidth="1"/>
    <col min="6397" max="6397" width="10.28515625" style="30" customWidth="1"/>
    <col min="6398" max="6399" width="10" style="30" customWidth="1"/>
    <col min="6400" max="6400" width="10.5703125" style="30" customWidth="1"/>
    <col min="6401" max="6401" width="12.28515625" style="30" customWidth="1"/>
    <col min="6402" max="6402" width="13.28515625" style="30" customWidth="1"/>
    <col min="6403" max="6403" width="15.42578125" style="30" customWidth="1"/>
    <col min="6404" max="6404" width="15" style="30" customWidth="1"/>
    <col min="6405" max="6405" width="14.5703125" style="30" customWidth="1"/>
    <col min="6406" max="6406" width="14.140625" style="30" customWidth="1"/>
    <col min="6407" max="6651" width="9.140625" style="30"/>
    <col min="6652" max="6652" width="19.28515625" style="30" customWidth="1"/>
    <col min="6653" max="6653" width="10.28515625" style="30" customWidth="1"/>
    <col min="6654" max="6655" width="10" style="30" customWidth="1"/>
    <col min="6656" max="6656" width="10.5703125" style="30" customWidth="1"/>
    <col min="6657" max="6657" width="12.28515625" style="30" customWidth="1"/>
    <col min="6658" max="6658" width="13.28515625" style="30" customWidth="1"/>
    <col min="6659" max="6659" width="15.42578125" style="30" customWidth="1"/>
    <col min="6660" max="6660" width="15" style="30" customWidth="1"/>
    <col min="6661" max="6661" width="14.5703125" style="30" customWidth="1"/>
    <col min="6662" max="6662" width="14.140625" style="30" customWidth="1"/>
    <col min="6663" max="6907" width="9.140625" style="30"/>
    <col min="6908" max="6908" width="19.28515625" style="30" customWidth="1"/>
    <col min="6909" max="6909" width="10.28515625" style="30" customWidth="1"/>
    <col min="6910" max="6911" width="10" style="30" customWidth="1"/>
    <col min="6912" max="6912" width="10.5703125" style="30" customWidth="1"/>
    <col min="6913" max="6913" width="12.28515625" style="30" customWidth="1"/>
    <col min="6914" max="6914" width="13.28515625" style="30" customWidth="1"/>
    <col min="6915" max="6915" width="15.42578125" style="30" customWidth="1"/>
    <col min="6916" max="6916" width="15" style="30" customWidth="1"/>
    <col min="6917" max="6917" width="14.5703125" style="30" customWidth="1"/>
    <col min="6918" max="6918" width="14.140625" style="30" customWidth="1"/>
    <col min="6919" max="7163" width="9.140625" style="30"/>
    <col min="7164" max="7164" width="19.28515625" style="30" customWidth="1"/>
    <col min="7165" max="7165" width="10.28515625" style="30" customWidth="1"/>
    <col min="7166" max="7167" width="10" style="30" customWidth="1"/>
    <col min="7168" max="7168" width="10.5703125" style="30" customWidth="1"/>
    <col min="7169" max="7169" width="12.28515625" style="30" customWidth="1"/>
    <col min="7170" max="7170" width="13.28515625" style="30" customWidth="1"/>
    <col min="7171" max="7171" width="15.42578125" style="30" customWidth="1"/>
    <col min="7172" max="7172" width="15" style="30" customWidth="1"/>
    <col min="7173" max="7173" width="14.5703125" style="30" customWidth="1"/>
    <col min="7174" max="7174" width="14.140625" style="30" customWidth="1"/>
    <col min="7175" max="7419" width="9.140625" style="30"/>
    <col min="7420" max="7420" width="19.28515625" style="30" customWidth="1"/>
    <col min="7421" max="7421" width="10.28515625" style="30" customWidth="1"/>
    <col min="7422" max="7423" width="10" style="30" customWidth="1"/>
    <col min="7424" max="7424" width="10.5703125" style="30" customWidth="1"/>
    <col min="7425" max="7425" width="12.28515625" style="30" customWidth="1"/>
    <col min="7426" max="7426" width="13.28515625" style="30" customWidth="1"/>
    <col min="7427" max="7427" width="15.42578125" style="30" customWidth="1"/>
    <col min="7428" max="7428" width="15" style="30" customWidth="1"/>
    <col min="7429" max="7429" width="14.5703125" style="30" customWidth="1"/>
    <col min="7430" max="7430" width="14.140625" style="30" customWidth="1"/>
    <col min="7431" max="7675" width="9.140625" style="30"/>
    <col min="7676" max="7676" width="19.28515625" style="30" customWidth="1"/>
    <col min="7677" max="7677" width="10.28515625" style="30" customWidth="1"/>
    <col min="7678" max="7679" width="10" style="30" customWidth="1"/>
    <col min="7680" max="7680" width="10.5703125" style="30" customWidth="1"/>
    <col min="7681" max="7681" width="12.28515625" style="30" customWidth="1"/>
    <col min="7682" max="7682" width="13.28515625" style="30" customWidth="1"/>
    <col min="7683" max="7683" width="15.42578125" style="30" customWidth="1"/>
    <col min="7684" max="7684" width="15" style="30" customWidth="1"/>
    <col min="7685" max="7685" width="14.5703125" style="30" customWidth="1"/>
    <col min="7686" max="7686" width="14.140625" style="30" customWidth="1"/>
    <col min="7687" max="7931" width="9.140625" style="30"/>
    <col min="7932" max="7932" width="19.28515625" style="30" customWidth="1"/>
    <col min="7933" max="7933" width="10.28515625" style="30" customWidth="1"/>
    <col min="7934" max="7935" width="10" style="30" customWidth="1"/>
    <col min="7936" max="7936" width="10.5703125" style="30" customWidth="1"/>
    <col min="7937" max="7937" width="12.28515625" style="30" customWidth="1"/>
    <col min="7938" max="7938" width="13.28515625" style="30" customWidth="1"/>
    <col min="7939" max="7939" width="15.42578125" style="30" customWidth="1"/>
    <col min="7940" max="7940" width="15" style="30" customWidth="1"/>
    <col min="7941" max="7941" width="14.5703125" style="30" customWidth="1"/>
    <col min="7942" max="7942" width="14.140625" style="30" customWidth="1"/>
    <col min="7943" max="8187" width="9.140625" style="30"/>
    <col min="8188" max="8188" width="19.28515625" style="30" customWidth="1"/>
    <col min="8189" max="8189" width="10.28515625" style="30" customWidth="1"/>
    <col min="8190" max="8191" width="10" style="30" customWidth="1"/>
    <col min="8192" max="8192" width="10.5703125" style="30" customWidth="1"/>
    <col min="8193" max="8193" width="12.28515625" style="30" customWidth="1"/>
    <col min="8194" max="8194" width="13.28515625" style="30" customWidth="1"/>
    <col min="8195" max="8195" width="15.42578125" style="30" customWidth="1"/>
    <col min="8196" max="8196" width="15" style="30" customWidth="1"/>
    <col min="8197" max="8197" width="14.5703125" style="30" customWidth="1"/>
    <col min="8198" max="8198" width="14.140625" style="30" customWidth="1"/>
    <col min="8199" max="8443" width="9.140625" style="30"/>
    <col min="8444" max="8444" width="19.28515625" style="30" customWidth="1"/>
    <col min="8445" max="8445" width="10.28515625" style="30" customWidth="1"/>
    <col min="8446" max="8447" width="10" style="30" customWidth="1"/>
    <col min="8448" max="8448" width="10.5703125" style="30" customWidth="1"/>
    <col min="8449" max="8449" width="12.28515625" style="30" customWidth="1"/>
    <col min="8450" max="8450" width="13.28515625" style="30" customWidth="1"/>
    <col min="8451" max="8451" width="15.42578125" style="30" customWidth="1"/>
    <col min="8452" max="8452" width="15" style="30" customWidth="1"/>
    <col min="8453" max="8453" width="14.5703125" style="30" customWidth="1"/>
    <col min="8454" max="8454" width="14.140625" style="30" customWidth="1"/>
    <col min="8455" max="8699" width="9.140625" style="30"/>
    <col min="8700" max="8700" width="19.28515625" style="30" customWidth="1"/>
    <col min="8701" max="8701" width="10.28515625" style="30" customWidth="1"/>
    <col min="8702" max="8703" width="10" style="30" customWidth="1"/>
    <col min="8704" max="8704" width="10.5703125" style="30" customWidth="1"/>
    <col min="8705" max="8705" width="12.28515625" style="30" customWidth="1"/>
    <col min="8706" max="8706" width="13.28515625" style="30" customWidth="1"/>
    <col min="8707" max="8707" width="15.42578125" style="30" customWidth="1"/>
    <col min="8708" max="8708" width="15" style="30" customWidth="1"/>
    <col min="8709" max="8709" width="14.5703125" style="30" customWidth="1"/>
    <col min="8710" max="8710" width="14.140625" style="30" customWidth="1"/>
    <col min="8711" max="8955" width="9.140625" style="30"/>
    <col min="8956" max="8956" width="19.28515625" style="30" customWidth="1"/>
    <col min="8957" max="8957" width="10.28515625" style="30" customWidth="1"/>
    <col min="8958" max="8959" width="10" style="30" customWidth="1"/>
    <col min="8960" max="8960" width="10.5703125" style="30" customWidth="1"/>
    <col min="8961" max="8961" width="12.28515625" style="30" customWidth="1"/>
    <col min="8962" max="8962" width="13.28515625" style="30" customWidth="1"/>
    <col min="8963" max="8963" width="15.42578125" style="30" customWidth="1"/>
    <col min="8964" max="8964" width="15" style="30" customWidth="1"/>
    <col min="8965" max="8965" width="14.5703125" style="30" customWidth="1"/>
    <col min="8966" max="8966" width="14.140625" style="30" customWidth="1"/>
    <col min="8967" max="9211" width="9.140625" style="30"/>
    <col min="9212" max="9212" width="19.28515625" style="30" customWidth="1"/>
    <col min="9213" max="9213" width="10.28515625" style="30" customWidth="1"/>
    <col min="9214" max="9215" width="10" style="30" customWidth="1"/>
    <col min="9216" max="9216" width="10.5703125" style="30" customWidth="1"/>
    <col min="9217" max="9217" width="12.28515625" style="30" customWidth="1"/>
    <col min="9218" max="9218" width="13.28515625" style="30" customWidth="1"/>
    <col min="9219" max="9219" width="15.42578125" style="30" customWidth="1"/>
    <col min="9220" max="9220" width="15" style="30" customWidth="1"/>
    <col min="9221" max="9221" width="14.5703125" style="30" customWidth="1"/>
    <col min="9222" max="9222" width="14.140625" style="30" customWidth="1"/>
    <col min="9223" max="9467" width="9.140625" style="30"/>
    <col min="9468" max="9468" width="19.28515625" style="30" customWidth="1"/>
    <col min="9469" max="9469" width="10.28515625" style="30" customWidth="1"/>
    <col min="9470" max="9471" width="10" style="30" customWidth="1"/>
    <col min="9472" max="9472" width="10.5703125" style="30" customWidth="1"/>
    <col min="9473" max="9473" width="12.28515625" style="30" customWidth="1"/>
    <col min="9474" max="9474" width="13.28515625" style="30" customWidth="1"/>
    <col min="9475" max="9475" width="15.42578125" style="30" customWidth="1"/>
    <col min="9476" max="9476" width="15" style="30" customWidth="1"/>
    <col min="9477" max="9477" width="14.5703125" style="30" customWidth="1"/>
    <col min="9478" max="9478" width="14.140625" style="30" customWidth="1"/>
    <col min="9479" max="9723" width="9.140625" style="30"/>
    <col min="9724" max="9724" width="19.28515625" style="30" customWidth="1"/>
    <col min="9725" max="9725" width="10.28515625" style="30" customWidth="1"/>
    <col min="9726" max="9727" width="10" style="30" customWidth="1"/>
    <col min="9728" max="9728" width="10.5703125" style="30" customWidth="1"/>
    <col min="9729" max="9729" width="12.28515625" style="30" customWidth="1"/>
    <col min="9730" max="9730" width="13.28515625" style="30" customWidth="1"/>
    <col min="9731" max="9731" width="15.42578125" style="30" customWidth="1"/>
    <col min="9732" max="9732" width="15" style="30" customWidth="1"/>
    <col min="9733" max="9733" width="14.5703125" style="30" customWidth="1"/>
    <col min="9734" max="9734" width="14.140625" style="30" customWidth="1"/>
    <col min="9735" max="9979" width="9.140625" style="30"/>
    <col min="9980" max="9980" width="19.28515625" style="30" customWidth="1"/>
    <col min="9981" max="9981" width="10.28515625" style="30" customWidth="1"/>
    <col min="9982" max="9983" width="10" style="30" customWidth="1"/>
    <col min="9984" max="9984" width="10.5703125" style="30" customWidth="1"/>
    <col min="9985" max="9985" width="12.28515625" style="30" customWidth="1"/>
    <col min="9986" max="9986" width="13.28515625" style="30" customWidth="1"/>
    <col min="9987" max="9987" width="15.42578125" style="30" customWidth="1"/>
    <col min="9988" max="9988" width="15" style="30" customWidth="1"/>
    <col min="9989" max="9989" width="14.5703125" style="30" customWidth="1"/>
    <col min="9990" max="9990" width="14.140625" style="30" customWidth="1"/>
    <col min="9991" max="10235" width="9.140625" style="30"/>
    <col min="10236" max="10236" width="19.28515625" style="30" customWidth="1"/>
    <col min="10237" max="10237" width="10.28515625" style="30" customWidth="1"/>
    <col min="10238" max="10239" width="10" style="30" customWidth="1"/>
    <col min="10240" max="10240" width="10.5703125" style="30" customWidth="1"/>
    <col min="10241" max="10241" width="12.28515625" style="30" customWidth="1"/>
    <col min="10242" max="10242" width="13.28515625" style="30" customWidth="1"/>
    <col min="10243" max="10243" width="15.42578125" style="30" customWidth="1"/>
    <col min="10244" max="10244" width="15" style="30" customWidth="1"/>
    <col min="10245" max="10245" width="14.5703125" style="30" customWidth="1"/>
    <col min="10246" max="10246" width="14.140625" style="30" customWidth="1"/>
    <col min="10247" max="10491" width="9.140625" style="30"/>
    <col min="10492" max="10492" width="19.28515625" style="30" customWidth="1"/>
    <col min="10493" max="10493" width="10.28515625" style="30" customWidth="1"/>
    <col min="10494" max="10495" width="10" style="30" customWidth="1"/>
    <col min="10496" max="10496" width="10.5703125" style="30" customWidth="1"/>
    <col min="10497" max="10497" width="12.28515625" style="30" customWidth="1"/>
    <col min="10498" max="10498" width="13.28515625" style="30" customWidth="1"/>
    <col min="10499" max="10499" width="15.42578125" style="30" customWidth="1"/>
    <col min="10500" max="10500" width="15" style="30" customWidth="1"/>
    <col min="10501" max="10501" width="14.5703125" style="30" customWidth="1"/>
    <col min="10502" max="10502" width="14.140625" style="30" customWidth="1"/>
    <col min="10503" max="10747" width="9.140625" style="30"/>
    <col min="10748" max="10748" width="19.28515625" style="30" customWidth="1"/>
    <col min="10749" max="10749" width="10.28515625" style="30" customWidth="1"/>
    <col min="10750" max="10751" width="10" style="30" customWidth="1"/>
    <col min="10752" max="10752" width="10.5703125" style="30" customWidth="1"/>
    <col min="10753" max="10753" width="12.28515625" style="30" customWidth="1"/>
    <col min="10754" max="10754" width="13.28515625" style="30" customWidth="1"/>
    <col min="10755" max="10755" width="15.42578125" style="30" customWidth="1"/>
    <col min="10756" max="10756" width="15" style="30" customWidth="1"/>
    <col min="10757" max="10757" width="14.5703125" style="30" customWidth="1"/>
    <col min="10758" max="10758" width="14.140625" style="30" customWidth="1"/>
    <col min="10759" max="11003" width="9.140625" style="30"/>
    <col min="11004" max="11004" width="19.28515625" style="30" customWidth="1"/>
    <col min="11005" max="11005" width="10.28515625" style="30" customWidth="1"/>
    <col min="11006" max="11007" width="10" style="30" customWidth="1"/>
    <col min="11008" max="11008" width="10.5703125" style="30" customWidth="1"/>
    <col min="11009" max="11009" width="12.28515625" style="30" customWidth="1"/>
    <col min="11010" max="11010" width="13.28515625" style="30" customWidth="1"/>
    <col min="11011" max="11011" width="15.42578125" style="30" customWidth="1"/>
    <col min="11012" max="11012" width="15" style="30" customWidth="1"/>
    <col min="11013" max="11013" width="14.5703125" style="30" customWidth="1"/>
    <col min="11014" max="11014" width="14.140625" style="30" customWidth="1"/>
    <col min="11015" max="11259" width="9.140625" style="30"/>
    <col min="11260" max="11260" width="19.28515625" style="30" customWidth="1"/>
    <col min="11261" max="11261" width="10.28515625" style="30" customWidth="1"/>
    <col min="11262" max="11263" width="10" style="30" customWidth="1"/>
    <col min="11264" max="11264" width="10.5703125" style="30" customWidth="1"/>
    <col min="11265" max="11265" width="12.28515625" style="30" customWidth="1"/>
    <col min="11266" max="11266" width="13.28515625" style="30" customWidth="1"/>
    <col min="11267" max="11267" width="15.42578125" style="30" customWidth="1"/>
    <col min="11268" max="11268" width="15" style="30" customWidth="1"/>
    <col min="11269" max="11269" width="14.5703125" style="30" customWidth="1"/>
    <col min="11270" max="11270" width="14.140625" style="30" customWidth="1"/>
    <col min="11271" max="11515" width="9.140625" style="30"/>
    <col min="11516" max="11516" width="19.28515625" style="30" customWidth="1"/>
    <col min="11517" max="11517" width="10.28515625" style="30" customWidth="1"/>
    <col min="11518" max="11519" width="10" style="30" customWidth="1"/>
    <col min="11520" max="11520" width="10.5703125" style="30" customWidth="1"/>
    <col min="11521" max="11521" width="12.28515625" style="30" customWidth="1"/>
    <col min="11522" max="11522" width="13.28515625" style="30" customWidth="1"/>
    <col min="11523" max="11523" width="15.42578125" style="30" customWidth="1"/>
    <col min="11524" max="11524" width="15" style="30" customWidth="1"/>
    <col min="11525" max="11525" width="14.5703125" style="30" customWidth="1"/>
    <col min="11526" max="11526" width="14.140625" style="30" customWidth="1"/>
    <col min="11527" max="11771" width="9.140625" style="30"/>
    <col min="11772" max="11772" width="19.28515625" style="30" customWidth="1"/>
    <col min="11773" max="11773" width="10.28515625" style="30" customWidth="1"/>
    <col min="11774" max="11775" width="10" style="30" customWidth="1"/>
    <col min="11776" max="11776" width="10.5703125" style="30" customWidth="1"/>
    <col min="11777" max="11777" width="12.28515625" style="30" customWidth="1"/>
    <col min="11778" max="11778" width="13.28515625" style="30" customWidth="1"/>
    <col min="11779" max="11779" width="15.42578125" style="30" customWidth="1"/>
    <col min="11780" max="11780" width="15" style="30" customWidth="1"/>
    <col min="11781" max="11781" width="14.5703125" style="30" customWidth="1"/>
    <col min="11782" max="11782" width="14.140625" style="30" customWidth="1"/>
    <col min="11783" max="12027" width="9.140625" style="30"/>
    <col min="12028" max="12028" width="19.28515625" style="30" customWidth="1"/>
    <col min="12029" max="12029" width="10.28515625" style="30" customWidth="1"/>
    <col min="12030" max="12031" width="10" style="30" customWidth="1"/>
    <col min="12032" max="12032" width="10.5703125" style="30" customWidth="1"/>
    <col min="12033" max="12033" width="12.28515625" style="30" customWidth="1"/>
    <col min="12034" max="12034" width="13.28515625" style="30" customWidth="1"/>
    <col min="12035" max="12035" width="15.42578125" style="30" customWidth="1"/>
    <col min="12036" max="12036" width="15" style="30" customWidth="1"/>
    <col min="12037" max="12037" width="14.5703125" style="30" customWidth="1"/>
    <col min="12038" max="12038" width="14.140625" style="30" customWidth="1"/>
    <col min="12039" max="12283" width="9.140625" style="30"/>
    <col min="12284" max="12284" width="19.28515625" style="30" customWidth="1"/>
    <col min="12285" max="12285" width="10.28515625" style="30" customWidth="1"/>
    <col min="12286" max="12287" width="10" style="30" customWidth="1"/>
    <col min="12288" max="12288" width="10.5703125" style="30" customWidth="1"/>
    <col min="12289" max="12289" width="12.28515625" style="30" customWidth="1"/>
    <col min="12290" max="12290" width="13.28515625" style="30" customWidth="1"/>
    <col min="12291" max="12291" width="15.42578125" style="30" customWidth="1"/>
    <col min="12292" max="12292" width="15" style="30" customWidth="1"/>
    <col min="12293" max="12293" width="14.5703125" style="30" customWidth="1"/>
    <col min="12294" max="12294" width="14.140625" style="30" customWidth="1"/>
    <col min="12295" max="12539" width="9.140625" style="30"/>
    <col min="12540" max="12540" width="19.28515625" style="30" customWidth="1"/>
    <col min="12541" max="12541" width="10.28515625" style="30" customWidth="1"/>
    <col min="12542" max="12543" width="10" style="30" customWidth="1"/>
    <col min="12544" max="12544" width="10.5703125" style="30" customWidth="1"/>
    <col min="12545" max="12545" width="12.28515625" style="30" customWidth="1"/>
    <col min="12546" max="12546" width="13.28515625" style="30" customWidth="1"/>
    <col min="12547" max="12547" width="15.42578125" style="30" customWidth="1"/>
    <col min="12548" max="12548" width="15" style="30" customWidth="1"/>
    <col min="12549" max="12549" width="14.5703125" style="30" customWidth="1"/>
    <col min="12550" max="12550" width="14.140625" style="30" customWidth="1"/>
    <col min="12551" max="12795" width="9.140625" style="30"/>
    <col min="12796" max="12796" width="19.28515625" style="30" customWidth="1"/>
    <col min="12797" max="12797" width="10.28515625" style="30" customWidth="1"/>
    <col min="12798" max="12799" width="10" style="30" customWidth="1"/>
    <col min="12800" max="12800" width="10.5703125" style="30" customWidth="1"/>
    <col min="12801" max="12801" width="12.28515625" style="30" customWidth="1"/>
    <col min="12802" max="12802" width="13.28515625" style="30" customWidth="1"/>
    <col min="12803" max="12803" width="15.42578125" style="30" customWidth="1"/>
    <col min="12804" max="12804" width="15" style="30" customWidth="1"/>
    <col min="12805" max="12805" width="14.5703125" style="30" customWidth="1"/>
    <col min="12806" max="12806" width="14.140625" style="30" customWidth="1"/>
    <col min="12807" max="13051" width="9.140625" style="30"/>
    <col min="13052" max="13052" width="19.28515625" style="30" customWidth="1"/>
    <col min="13053" max="13053" width="10.28515625" style="30" customWidth="1"/>
    <col min="13054" max="13055" width="10" style="30" customWidth="1"/>
    <col min="13056" max="13056" width="10.5703125" style="30" customWidth="1"/>
    <col min="13057" max="13057" width="12.28515625" style="30" customWidth="1"/>
    <col min="13058" max="13058" width="13.28515625" style="30" customWidth="1"/>
    <col min="13059" max="13059" width="15.42578125" style="30" customWidth="1"/>
    <col min="13060" max="13060" width="15" style="30" customWidth="1"/>
    <col min="13061" max="13061" width="14.5703125" style="30" customWidth="1"/>
    <col min="13062" max="13062" width="14.140625" style="30" customWidth="1"/>
    <col min="13063" max="13307" width="9.140625" style="30"/>
    <col min="13308" max="13308" width="19.28515625" style="30" customWidth="1"/>
    <col min="13309" max="13309" width="10.28515625" style="30" customWidth="1"/>
    <col min="13310" max="13311" width="10" style="30" customWidth="1"/>
    <col min="13312" max="13312" width="10.5703125" style="30" customWidth="1"/>
    <col min="13313" max="13313" width="12.28515625" style="30" customWidth="1"/>
    <col min="13314" max="13314" width="13.28515625" style="30" customWidth="1"/>
    <col min="13315" max="13315" width="15.42578125" style="30" customWidth="1"/>
    <col min="13316" max="13316" width="15" style="30" customWidth="1"/>
    <col min="13317" max="13317" width="14.5703125" style="30" customWidth="1"/>
    <col min="13318" max="13318" width="14.140625" style="30" customWidth="1"/>
    <col min="13319" max="13563" width="9.140625" style="30"/>
    <col min="13564" max="13564" width="19.28515625" style="30" customWidth="1"/>
    <col min="13565" max="13565" width="10.28515625" style="30" customWidth="1"/>
    <col min="13566" max="13567" width="10" style="30" customWidth="1"/>
    <col min="13568" max="13568" width="10.5703125" style="30" customWidth="1"/>
    <col min="13569" max="13569" width="12.28515625" style="30" customWidth="1"/>
    <col min="13570" max="13570" width="13.28515625" style="30" customWidth="1"/>
    <col min="13571" max="13571" width="15.42578125" style="30" customWidth="1"/>
    <col min="13572" max="13572" width="15" style="30" customWidth="1"/>
    <col min="13573" max="13573" width="14.5703125" style="30" customWidth="1"/>
    <col min="13574" max="13574" width="14.140625" style="30" customWidth="1"/>
    <col min="13575" max="13819" width="9.140625" style="30"/>
    <col min="13820" max="13820" width="19.28515625" style="30" customWidth="1"/>
    <col min="13821" max="13821" width="10.28515625" style="30" customWidth="1"/>
    <col min="13822" max="13823" width="10" style="30" customWidth="1"/>
    <col min="13824" max="13824" width="10.5703125" style="30" customWidth="1"/>
    <col min="13825" max="13825" width="12.28515625" style="30" customWidth="1"/>
    <col min="13826" max="13826" width="13.28515625" style="30" customWidth="1"/>
    <col min="13827" max="13827" width="15.42578125" style="30" customWidth="1"/>
    <col min="13828" max="13828" width="15" style="30" customWidth="1"/>
    <col min="13829" max="13829" width="14.5703125" style="30" customWidth="1"/>
    <col min="13830" max="13830" width="14.140625" style="30" customWidth="1"/>
    <col min="13831" max="14075" width="9.140625" style="30"/>
    <col min="14076" max="14076" width="19.28515625" style="30" customWidth="1"/>
    <col min="14077" max="14077" width="10.28515625" style="30" customWidth="1"/>
    <col min="14078" max="14079" width="10" style="30" customWidth="1"/>
    <col min="14080" max="14080" width="10.5703125" style="30" customWidth="1"/>
    <col min="14081" max="14081" width="12.28515625" style="30" customWidth="1"/>
    <col min="14082" max="14082" width="13.28515625" style="30" customWidth="1"/>
    <col min="14083" max="14083" width="15.42578125" style="30" customWidth="1"/>
    <col min="14084" max="14084" width="15" style="30" customWidth="1"/>
    <col min="14085" max="14085" width="14.5703125" style="30" customWidth="1"/>
    <col min="14086" max="14086" width="14.140625" style="30" customWidth="1"/>
    <col min="14087" max="14331" width="9.140625" style="30"/>
    <col min="14332" max="14332" width="19.28515625" style="30" customWidth="1"/>
    <col min="14333" max="14333" width="10.28515625" style="30" customWidth="1"/>
    <col min="14334" max="14335" width="10" style="30" customWidth="1"/>
    <col min="14336" max="14336" width="10.5703125" style="30" customWidth="1"/>
    <col min="14337" max="14337" width="12.28515625" style="30" customWidth="1"/>
    <col min="14338" max="14338" width="13.28515625" style="30" customWidth="1"/>
    <col min="14339" max="14339" width="15.42578125" style="30" customWidth="1"/>
    <col min="14340" max="14340" width="15" style="30" customWidth="1"/>
    <col min="14341" max="14341" width="14.5703125" style="30" customWidth="1"/>
    <col min="14342" max="14342" width="14.140625" style="30" customWidth="1"/>
    <col min="14343" max="14587" width="9.140625" style="30"/>
    <col min="14588" max="14588" width="19.28515625" style="30" customWidth="1"/>
    <col min="14589" max="14589" width="10.28515625" style="30" customWidth="1"/>
    <col min="14590" max="14591" width="10" style="30" customWidth="1"/>
    <col min="14592" max="14592" width="10.5703125" style="30" customWidth="1"/>
    <col min="14593" max="14593" width="12.28515625" style="30" customWidth="1"/>
    <col min="14594" max="14594" width="13.28515625" style="30" customWidth="1"/>
    <col min="14595" max="14595" width="15.42578125" style="30" customWidth="1"/>
    <col min="14596" max="14596" width="15" style="30" customWidth="1"/>
    <col min="14597" max="14597" width="14.5703125" style="30" customWidth="1"/>
    <col min="14598" max="14598" width="14.140625" style="30" customWidth="1"/>
    <col min="14599" max="14843" width="9.140625" style="30"/>
    <col min="14844" max="14844" width="19.28515625" style="30" customWidth="1"/>
    <col min="14845" max="14845" width="10.28515625" style="30" customWidth="1"/>
    <col min="14846" max="14847" width="10" style="30" customWidth="1"/>
    <col min="14848" max="14848" width="10.5703125" style="30" customWidth="1"/>
    <col min="14849" max="14849" width="12.28515625" style="30" customWidth="1"/>
    <col min="14850" max="14850" width="13.28515625" style="30" customWidth="1"/>
    <col min="14851" max="14851" width="15.42578125" style="30" customWidth="1"/>
    <col min="14852" max="14852" width="15" style="30" customWidth="1"/>
    <col min="14853" max="14853" width="14.5703125" style="30" customWidth="1"/>
    <col min="14854" max="14854" width="14.140625" style="30" customWidth="1"/>
    <col min="14855" max="15099" width="9.140625" style="30"/>
    <col min="15100" max="15100" width="19.28515625" style="30" customWidth="1"/>
    <col min="15101" max="15101" width="10.28515625" style="30" customWidth="1"/>
    <col min="15102" max="15103" width="10" style="30" customWidth="1"/>
    <col min="15104" max="15104" width="10.5703125" style="30" customWidth="1"/>
    <col min="15105" max="15105" width="12.28515625" style="30" customWidth="1"/>
    <col min="15106" max="15106" width="13.28515625" style="30" customWidth="1"/>
    <col min="15107" max="15107" width="15.42578125" style="30" customWidth="1"/>
    <col min="15108" max="15108" width="15" style="30" customWidth="1"/>
    <col min="15109" max="15109" width="14.5703125" style="30" customWidth="1"/>
    <col min="15110" max="15110" width="14.140625" style="30" customWidth="1"/>
    <col min="15111" max="15355" width="9.140625" style="30"/>
    <col min="15356" max="15356" width="19.28515625" style="30" customWidth="1"/>
    <col min="15357" max="15357" width="10.28515625" style="30" customWidth="1"/>
    <col min="15358" max="15359" width="10" style="30" customWidth="1"/>
    <col min="15360" max="15360" width="10.5703125" style="30" customWidth="1"/>
    <col min="15361" max="15361" width="12.28515625" style="30" customWidth="1"/>
    <col min="15362" max="15362" width="13.28515625" style="30" customWidth="1"/>
    <col min="15363" max="15363" width="15.42578125" style="30" customWidth="1"/>
    <col min="15364" max="15364" width="15" style="30" customWidth="1"/>
    <col min="15365" max="15365" width="14.5703125" style="30" customWidth="1"/>
    <col min="15366" max="15366" width="14.140625" style="30" customWidth="1"/>
    <col min="15367" max="15611" width="9.140625" style="30"/>
    <col min="15612" max="15612" width="19.28515625" style="30" customWidth="1"/>
    <col min="15613" max="15613" width="10.28515625" style="30" customWidth="1"/>
    <col min="15614" max="15615" width="10" style="30" customWidth="1"/>
    <col min="15616" max="15616" width="10.5703125" style="30" customWidth="1"/>
    <col min="15617" max="15617" width="12.28515625" style="30" customWidth="1"/>
    <col min="15618" max="15618" width="13.28515625" style="30" customWidth="1"/>
    <col min="15619" max="15619" width="15.42578125" style="30" customWidth="1"/>
    <col min="15620" max="15620" width="15" style="30" customWidth="1"/>
    <col min="15621" max="15621" width="14.5703125" style="30" customWidth="1"/>
    <col min="15622" max="15622" width="14.140625" style="30" customWidth="1"/>
    <col min="15623" max="15867" width="9.140625" style="30"/>
    <col min="15868" max="15868" width="19.28515625" style="30" customWidth="1"/>
    <col min="15869" max="15869" width="10.28515625" style="30" customWidth="1"/>
    <col min="15870" max="15871" width="10" style="30" customWidth="1"/>
    <col min="15872" max="15872" width="10.5703125" style="30" customWidth="1"/>
    <col min="15873" max="15873" width="12.28515625" style="30" customWidth="1"/>
    <col min="15874" max="15874" width="13.28515625" style="30" customWidth="1"/>
    <col min="15875" max="15875" width="15.42578125" style="30" customWidth="1"/>
    <col min="15876" max="15876" width="15" style="30" customWidth="1"/>
    <col min="15877" max="15877" width="14.5703125" style="30" customWidth="1"/>
    <col min="15878" max="15878" width="14.140625" style="30" customWidth="1"/>
    <col min="15879" max="16123" width="9.140625" style="30"/>
    <col min="16124" max="16124" width="19.28515625" style="30" customWidth="1"/>
    <col min="16125" max="16125" width="10.28515625" style="30" customWidth="1"/>
    <col min="16126" max="16127" width="10" style="30" customWidth="1"/>
    <col min="16128" max="16128" width="10.5703125" style="30" customWidth="1"/>
    <col min="16129" max="16129" width="12.28515625" style="30" customWidth="1"/>
    <col min="16130" max="16130" width="13.28515625" style="30" customWidth="1"/>
    <col min="16131" max="16131" width="15.42578125" style="30" customWidth="1"/>
    <col min="16132" max="16132" width="15" style="30" customWidth="1"/>
    <col min="16133" max="16133" width="14.5703125" style="30" customWidth="1"/>
    <col min="16134" max="16134" width="14.140625" style="30" customWidth="1"/>
    <col min="16135" max="16384" width="9.140625" style="30"/>
  </cols>
  <sheetData>
    <row r="1" spans="1:18" ht="12.75" customHeight="1" x14ac:dyDescent="0.2">
      <c r="A1" s="567" t="s">
        <v>399</v>
      </c>
    </row>
    <row r="2" spans="1:18" ht="72" customHeight="1" x14ac:dyDescent="0.2">
      <c r="A2" s="991" t="s">
        <v>0</v>
      </c>
      <c r="B2" s="991" t="s">
        <v>132</v>
      </c>
      <c r="C2" s="991" t="s">
        <v>342</v>
      </c>
      <c r="D2" s="991" t="s">
        <v>266</v>
      </c>
      <c r="E2" s="985" t="s">
        <v>145</v>
      </c>
      <c r="F2" s="986"/>
      <c r="G2" s="986"/>
      <c r="H2" s="987"/>
      <c r="I2" s="985" t="s">
        <v>146</v>
      </c>
      <c r="J2" s="986"/>
      <c r="K2" s="986"/>
      <c r="L2" s="987"/>
      <c r="M2" s="989" t="s">
        <v>238</v>
      </c>
      <c r="N2" s="988" t="s">
        <v>239</v>
      </c>
      <c r="O2" s="988"/>
      <c r="P2" s="985" t="s">
        <v>255</v>
      </c>
      <c r="Q2" s="986"/>
      <c r="R2" s="987"/>
    </row>
    <row r="3" spans="1:18" ht="54.75" customHeight="1" x14ac:dyDescent="0.2">
      <c r="A3" s="992"/>
      <c r="B3" s="992"/>
      <c r="C3" s="992"/>
      <c r="D3" s="992"/>
      <c r="E3" s="535" t="s">
        <v>147</v>
      </c>
      <c r="F3" s="535" t="s">
        <v>148</v>
      </c>
      <c r="G3" s="535" t="s">
        <v>149</v>
      </c>
      <c r="H3" s="535" t="s">
        <v>9</v>
      </c>
      <c r="I3" s="535" t="s">
        <v>147</v>
      </c>
      <c r="J3" s="535" t="s">
        <v>148</v>
      </c>
      <c r="K3" s="535" t="s">
        <v>149</v>
      </c>
      <c r="L3" s="535" t="s">
        <v>9</v>
      </c>
      <c r="M3" s="990"/>
      <c r="N3" s="536" t="s">
        <v>278</v>
      </c>
      <c r="O3" s="536" t="s">
        <v>279</v>
      </c>
      <c r="P3" s="535" t="s">
        <v>278</v>
      </c>
      <c r="Q3" s="535" t="s">
        <v>279</v>
      </c>
      <c r="R3" s="535" t="s">
        <v>311</v>
      </c>
    </row>
    <row r="4" spans="1:18" ht="12.75" customHeight="1" x14ac:dyDescent="0.2">
      <c r="A4" s="543">
        <v>1</v>
      </c>
      <c r="B4" s="139" t="str">
        <f>Численность!A6</f>
        <v>МАДОУ ЦРР-детский сад № 2</v>
      </c>
      <c r="C4" s="535">
        <v>4</v>
      </c>
      <c r="D4" s="161">
        <f>1064.4+1245.2+752.9+407</f>
        <v>3469.5000000000005</v>
      </c>
      <c r="E4" s="537">
        <v>3</v>
      </c>
      <c r="F4" s="537">
        <v>17</v>
      </c>
      <c r="G4" s="537"/>
      <c r="H4" s="537">
        <f>SUM(E4:G4)</f>
        <v>20</v>
      </c>
      <c r="I4" s="544">
        <f>91.7+49.3</f>
        <v>141</v>
      </c>
      <c r="J4" s="544">
        <f>302.4+229+236.3+132</f>
        <v>899.7</v>
      </c>
      <c r="K4" s="544"/>
      <c r="L4" s="544">
        <f t="shared" ref="L4:L12" si="0">SUM(I4:K4)</f>
        <v>1040.7</v>
      </c>
      <c r="M4" s="538">
        <f>ROUND(L4/(Численность!B6+Численность!C6+Численность!G6+Численность!H6+Численность!I6),2)</f>
        <v>2.15</v>
      </c>
      <c r="N4" s="195">
        <f>ROUND(I4/(Численность!B6+Численность!G6),2)</f>
        <v>1.41</v>
      </c>
      <c r="O4" s="195">
        <f>ROUND(J4/(Численность!C6+Численность!H6+Численность!I6),2)</f>
        <v>2.34</v>
      </c>
      <c r="P4" s="537">
        <f>ROUND(I4/$N$14,0)</f>
        <v>56</v>
      </c>
      <c r="Q4" s="537">
        <f>ROUND(J4/$O$14,0)</f>
        <v>450</v>
      </c>
      <c r="R4" s="537"/>
    </row>
    <row r="5" spans="1:18" ht="12.75" customHeight="1" x14ac:dyDescent="0.2">
      <c r="A5" s="543">
        <v>2</v>
      </c>
      <c r="B5" s="139" t="str">
        <f>Численность!A7</f>
        <v>МАДОУ ЦРР-детский сад № 11</v>
      </c>
      <c r="C5" s="535">
        <v>4</v>
      </c>
      <c r="D5" s="161">
        <f>2206.6+2586.8+1124.7</f>
        <v>5918.0999999999995</v>
      </c>
      <c r="E5" s="537">
        <v>7</v>
      </c>
      <c r="F5" s="537">
        <v>16</v>
      </c>
      <c r="G5" s="537"/>
      <c r="H5" s="537">
        <f t="shared" ref="H5:H12" si="1">SUM(E5:G5)</f>
        <v>23</v>
      </c>
      <c r="I5" s="544">
        <f>150.9+101+85</f>
        <v>336.9</v>
      </c>
      <c r="J5" s="544">
        <f>398.7+200.7+247.7</f>
        <v>847.09999999999991</v>
      </c>
      <c r="K5" s="544"/>
      <c r="L5" s="544">
        <f t="shared" si="0"/>
        <v>1184</v>
      </c>
      <c r="M5" s="538">
        <f>ROUND(L5/(Численность!B7+Численность!C7+Численность!G7+Численность!H7+Численность!I7),2)</f>
        <v>2.0499999999999998</v>
      </c>
      <c r="N5" s="195">
        <f>ROUND(I5/(Численность!B7+Численность!G7),2)</f>
        <v>3.55</v>
      </c>
      <c r="O5" s="195">
        <f>ROUND(J5/(Численность!C7+Численность!H7+Численность!I7),2)</f>
        <v>1.76</v>
      </c>
      <c r="P5" s="537">
        <f t="shared" ref="P5:P12" si="2">ROUND(I5/$N$14,0)</f>
        <v>135</v>
      </c>
      <c r="Q5" s="537">
        <f t="shared" ref="Q5:Q12" si="3">ROUND(J5/$O$14,0)</f>
        <v>424</v>
      </c>
      <c r="R5" s="537"/>
    </row>
    <row r="6" spans="1:18" x14ac:dyDescent="0.2">
      <c r="A6" s="543">
        <v>3</v>
      </c>
      <c r="B6" s="139" t="str">
        <f>Численность!A8</f>
        <v>МАДОУ ЦРР-детский сад № 13</v>
      </c>
      <c r="C6" s="535">
        <v>5</v>
      </c>
      <c r="D6" s="161">
        <f>1005.7+384.8+301.4+422.4+1810.4+2194.9</f>
        <v>6119.6</v>
      </c>
      <c r="E6" s="537">
        <v>8</v>
      </c>
      <c r="F6" s="537">
        <v>19</v>
      </c>
      <c r="G6" s="537"/>
      <c r="H6" s="537">
        <f t="shared" si="1"/>
        <v>27</v>
      </c>
      <c r="I6" s="544">
        <f>44.2+63.3+83.6+44+96.8</f>
        <v>331.9</v>
      </c>
      <c r="J6" s="544">
        <f>234.6+101.4+224.6+439.1</f>
        <v>999.7</v>
      </c>
      <c r="K6" s="544">
        <v>187.7</v>
      </c>
      <c r="L6" s="544">
        <f>SUM(I6:K6)</f>
        <v>1519.3</v>
      </c>
      <c r="M6" s="538">
        <f>ROUND(L6/(Численность!B8+Численность!C8+Численность!G8+Численность!H8+Численность!I8),2)</f>
        <v>2.29</v>
      </c>
      <c r="N6" s="195">
        <f>ROUND(I6/(Численность!B8+Численность!G8),2)</f>
        <v>3.1</v>
      </c>
      <c r="O6" s="195">
        <f>ROUND(J6/(Численность!C8+Численность!H8+Численность!I8),2)</f>
        <v>1.8</v>
      </c>
      <c r="P6" s="537">
        <f t="shared" si="2"/>
        <v>133</v>
      </c>
      <c r="Q6" s="537">
        <f t="shared" si="3"/>
        <v>500</v>
      </c>
      <c r="R6" s="537"/>
    </row>
    <row r="7" spans="1:18" ht="28.5" customHeight="1" x14ac:dyDescent="0.2">
      <c r="A7" s="543">
        <v>4</v>
      </c>
      <c r="B7" s="507" t="str">
        <f>Численность!A9</f>
        <v>МАОУ СОШ № 1 структурное подразделение</v>
      </c>
      <c r="C7" s="535">
        <v>2</v>
      </c>
      <c r="D7" s="161">
        <f>2036.9+887.6</f>
        <v>2924.5</v>
      </c>
      <c r="E7" s="537">
        <v>3</v>
      </c>
      <c r="F7" s="537">
        <v>13</v>
      </c>
      <c r="G7" s="537"/>
      <c r="H7" s="537">
        <f t="shared" si="1"/>
        <v>16</v>
      </c>
      <c r="I7" s="544">
        <v>143.30000000000001</v>
      </c>
      <c r="J7" s="544">
        <v>648.70000000000005</v>
      </c>
      <c r="K7" s="544"/>
      <c r="L7" s="544">
        <f t="shared" si="0"/>
        <v>792</v>
      </c>
      <c r="M7" s="538">
        <f>ROUND(L7/(Численность!B9+Численность!C9+Численность!G9+Численность!H9+Численность!I9),2)</f>
        <v>1.91</v>
      </c>
      <c r="N7" s="195">
        <f>ROUND(I7/(Численность!B9+Численность!G9),2)</f>
        <v>2.2400000000000002</v>
      </c>
      <c r="O7" s="195">
        <f>ROUND(J7/(Численность!C9+Численность!H9+Численность!I9),2)</f>
        <v>1.85</v>
      </c>
      <c r="P7" s="537">
        <f t="shared" si="2"/>
        <v>57</v>
      </c>
      <c r="Q7" s="537">
        <f t="shared" si="3"/>
        <v>324</v>
      </c>
      <c r="R7" s="537"/>
    </row>
    <row r="8" spans="1:18" ht="28.5" customHeight="1" x14ac:dyDescent="0.2">
      <c r="A8" s="543">
        <v>5</v>
      </c>
      <c r="B8" s="507" t="str">
        <f>Численность!A10</f>
        <v>МАОУ СОШ № 2 им.М.И.Грибушина структурное подразделение</v>
      </c>
      <c r="C8" s="535">
        <v>3</v>
      </c>
      <c r="D8" s="161">
        <f>738.5+1055.3+549.1</f>
        <v>2342.9</v>
      </c>
      <c r="E8" s="537">
        <v>3</v>
      </c>
      <c r="F8" s="537">
        <v>8</v>
      </c>
      <c r="G8" s="537"/>
      <c r="H8" s="537">
        <f t="shared" si="1"/>
        <v>11</v>
      </c>
      <c r="I8" s="544">
        <v>120.1</v>
      </c>
      <c r="J8" s="544">
        <v>480.3</v>
      </c>
      <c r="K8" s="544"/>
      <c r="L8" s="544">
        <f t="shared" si="0"/>
        <v>600.4</v>
      </c>
      <c r="M8" s="538">
        <f>ROUND(L8/(Численность!B10+Численность!C10+Численность!G10+Численность!H10+Численность!I10),2)</f>
        <v>2.04</v>
      </c>
      <c r="N8" s="195">
        <f>ROUND(I8/(Численность!B10+Численность!G10),2)</f>
        <v>2.14</v>
      </c>
      <c r="O8" s="195">
        <f>ROUND(J8/(Численность!C10+Численность!H10+Численность!I10),2)</f>
        <v>2.0099999999999998</v>
      </c>
      <c r="P8" s="537">
        <f t="shared" si="2"/>
        <v>48</v>
      </c>
      <c r="Q8" s="537">
        <f t="shared" si="3"/>
        <v>240</v>
      </c>
      <c r="R8" s="537"/>
    </row>
    <row r="9" spans="1:18" ht="28.5" customHeight="1" x14ac:dyDescent="0.2">
      <c r="A9" s="543">
        <v>6</v>
      </c>
      <c r="B9" s="507" t="str">
        <f>Численность!A11</f>
        <v>МАОУ СОШ № 10 структурное подразделение</v>
      </c>
      <c r="C9" s="535">
        <v>2</v>
      </c>
      <c r="D9" s="161">
        <f>767.2+794.9</f>
        <v>1562.1</v>
      </c>
      <c r="E9" s="537">
        <v>1</v>
      </c>
      <c r="F9" s="537">
        <v>8</v>
      </c>
      <c r="G9" s="537"/>
      <c r="H9" s="537">
        <f t="shared" si="1"/>
        <v>9</v>
      </c>
      <c r="I9" s="544">
        <v>54</v>
      </c>
      <c r="J9" s="544">
        <f>240.3+238.8</f>
        <v>479.1</v>
      </c>
      <c r="K9" s="544"/>
      <c r="L9" s="544">
        <f>SUM(I9:K9)</f>
        <v>533.1</v>
      </c>
      <c r="M9" s="538">
        <f>ROUND(L9/(Численность!B11+Численность!C11+Численность!G11+Численность!H11+Численность!I11),2)</f>
        <v>2.19</v>
      </c>
      <c r="N9" s="195">
        <f>ROUND(I9/(Численность!B11+Численность!G11),2)</f>
        <v>2.16</v>
      </c>
      <c r="O9" s="195">
        <f>ROUND(J9/(Численность!C11+Численность!H11+Численность!I11),2)</f>
        <v>2.2000000000000002</v>
      </c>
      <c r="P9" s="537">
        <f t="shared" si="2"/>
        <v>22</v>
      </c>
      <c r="Q9" s="537">
        <f t="shared" si="3"/>
        <v>240</v>
      </c>
      <c r="R9" s="537"/>
    </row>
    <row r="10" spans="1:18" ht="28.5" customHeight="1" x14ac:dyDescent="0.2">
      <c r="A10" s="543">
        <v>7</v>
      </c>
      <c r="B10" s="507" t="str">
        <f>Численность!A12</f>
        <v>МАОУ СОШ № 13 структурное подразделение</v>
      </c>
      <c r="C10" s="535">
        <v>1</v>
      </c>
      <c r="D10" s="161">
        <v>2229.8000000000002</v>
      </c>
      <c r="E10" s="537">
        <v>2</v>
      </c>
      <c r="F10" s="537">
        <v>8</v>
      </c>
      <c r="G10" s="545"/>
      <c r="H10" s="537">
        <f t="shared" si="1"/>
        <v>10</v>
      </c>
      <c r="I10" s="544">
        <v>102.5</v>
      </c>
      <c r="J10" s="544">
        <v>365</v>
      </c>
      <c r="K10" s="544"/>
      <c r="L10" s="544">
        <f t="shared" si="0"/>
        <v>467.5</v>
      </c>
      <c r="M10" s="538">
        <f>ROUND(L10/(Численность!B12+Численность!C12+Численность!G12+Численность!H12+Численность!I12),2)</f>
        <v>2.75</v>
      </c>
      <c r="N10" s="195">
        <f>ROUND(I10/(Численность!B12+Численность!G12),2)</f>
        <v>2.93</v>
      </c>
      <c r="O10" s="195">
        <f>ROUND(J10/(Численность!C12+Численность!H12+Численность!I12),2)</f>
        <v>2.7</v>
      </c>
      <c r="P10" s="537">
        <f t="shared" si="2"/>
        <v>41</v>
      </c>
      <c r="Q10" s="537">
        <f t="shared" si="3"/>
        <v>183</v>
      </c>
      <c r="R10" s="537"/>
    </row>
    <row r="11" spans="1:18" ht="12.75" customHeight="1" x14ac:dyDescent="0.2">
      <c r="A11" s="543">
        <v>8</v>
      </c>
      <c r="B11" s="507" t="str">
        <f>Численность!A13</f>
        <v>Гимназия № 16 структурное подразделение</v>
      </c>
      <c r="C11" s="535">
        <v>3</v>
      </c>
      <c r="D11" s="161">
        <f>2099.3+877.1+618.4</f>
        <v>3594.8</v>
      </c>
      <c r="E11" s="537">
        <v>5</v>
      </c>
      <c r="F11" s="537">
        <v>13</v>
      </c>
      <c r="G11" s="546"/>
      <c r="H11" s="537">
        <f t="shared" si="1"/>
        <v>18</v>
      </c>
      <c r="I11" s="544">
        <v>306.10000000000002</v>
      </c>
      <c r="J11" s="544">
        <v>668.8</v>
      </c>
      <c r="K11" s="544"/>
      <c r="L11" s="544">
        <f t="shared" si="0"/>
        <v>974.9</v>
      </c>
      <c r="M11" s="538">
        <f>ROUND(L11/(Численность!B13+Численность!C13+Численность!G13+Численность!H13+Численность!I13),2)</f>
        <v>2.7</v>
      </c>
      <c r="N11" s="195">
        <f>ROUND(I11/(Численность!B13+Численность!G13),2)</f>
        <v>6.12</v>
      </c>
      <c r="O11" s="195">
        <f>ROUND(J11/(Численность!C13+Численность!H13+Численность!I13),2)</f>
        <v>2.15</v>
      </c>
      <c r="P11" s="537">
        <f t="shared" si="2"/>
        <v>122</v>
      </c>
      <c r="Q11" s="537">
        <f t="shared" si="3"/>
        <v>334</v>
      </c>
      <c r="R11" s="537"/>
    </row>
    <row r="12" spans="1:18" ht="28.5" customHeight="1" x14ac:dyDescent="0.2">
      <c r="A12" s="543">
        <v>9</v>
      </c>
      <c r="B12" s="507" t="str">
        <f>Численность!A14</f>
        <v>МАОУ ООШ № 17 с кадетскими классами структурное подразделение</v>
      </c>
      <c r="C12" s="535">
        <v>1</v>
      </c>
      <c r="D12" s="161">
        <v>1164.4000000000001</v>
      </c>
      <c r="E12" s="537">
        <v>1</v>
      </c>
      <c r="F12" s="537">
        <v>3</v>
      </c>
      <c r="G12" s="537">
        <v>5</v>
      </c>
      <c r="H12" s="537">
        <f t="shared" si="1"/>
        <v>9</v>
      </c>
      <c r="I12" s="544">
        <v>60.3</v>
      </c>
      <c r="J12" s="544">
        <v>180.6</v>
      </c>
      <c r="K12" s="544"/>
      <c r="L12" s="544">
        <f t="shared" si="0"/>
        <v>240.89999999999998</v>
      </c>
      <c r="M12" s="538">
        <f>ROUND(L12/(Численность!B14+Численность!C14+Численность!G14+Численность!H14+Численность!I14),2)</f>
        <v>2.25</v>
      </c>
      <c r="N12" s="195">
        <f>ROUND(I12/(Численность!B14+Численность!G14),2)</f>
        <v>3.02</v>
      </c>
      <c r="O12" s="195">
        <f>ROUND(J12/(Численность!C14+Численность!H14+Численность!I14),2)</f>
        <v>2.08</v>
      </c>
      <c r="P12" s="537">
        <f t="shared" si="2"/>
        <v>24</v>
      </c>
      <c r="Q12" s="537">
        <f t="shared" si="3"/>
        <v>90</v>
      </c>
      <c r="R12" s="537">
        <f>G12*15</f>
        <v>75</v>
      </c>
    </row>
    <row r="13" spans="1:18" x14ac:dyDescent="0.2">
      <c r="A13" s="73"/>
      <c r="B13" s="74" t="s">
        <v>1</v>
      </c>
      <c r="C13" s="455">
        <f t="shared" ref="C13:L13" si="4">SUM(C4:C12)</f>
        <v>25</v>
      </c>
      <c r="D13" s="223">
        <f t="shared" si="4"/>
        <v>29325.7</v>
      </c>
      <c r="E13" s="101">
        <f t="shared" si="4"/>
        <v>33</v>
      </c>
      <c r="F13" s="101">
        <f t="shared" si="4"/>
        <v>105</v>
      </c>
      <c r="G13" s="101">
        <f t="shared" si="4"/>
        <v>5</v>
      </c>
      <c r="H13" s="101">
        <f t="shared" si="4"/>
        <v>143</v>
      </c>
      <c r="I13" s="102">
        <f t="shared" si="4"/>
        <v>1596.0999999999997</v>
      </c>
      <c r="J13" s="102">
        <f t="shared" si="4"/>
        <v>5569.0000000000009</v>
      </c>
      <c r="K13" s="102">
        <f t="shared" si="4"/>
        <v>187.7</v>
      </c>
      <c r="L13" s="102">
        <f t="shared" si="4"/>
        <v>7352.7999999999993</v>
      </c>
      <c r="M13" s="102"/>
      <c r="N13" s="102"/>
      <c r="O13" s="102"/>
      <c r="P13" s="101">
        <f>SUM(P4:P12)</f>
        <v>638</v>
      </c>
      <c r="Q13" s="101">
        <f>SUM(Q4:Q12)</f>
        <v>2785</v>
      </c>
      <c r="R13" s="101">
        <f>SUM(R4:R12)</f>
        <v>75</v>
      </c>
    </row>
    <row r="14" spans="1:18" x14ac:dyDescent="0.2">
      <c r="K14" s="235" t="s">
        <v>280</v>
      </c>
      <c r="L14" s="235"/>
      <c r="M14" s="235"/>
      <c r="N14" s="159">
        <v>2.5</v>
      </c>
      <c r="O14" s="159">
        <v>2</v>
      </c>
      <c r="P14" s="30">
        <f>ROUND(P13/E13,0)</f>
        <v>19</v>
      </c>
      <c r="Q14" s="30">
        <f>ROUND((Q13+R13)/(F13+G13),0)</f>
        <v>26</v>
      </c>
      <c r="R14" s="30">
        <f>ROUND((R13)/(G13),0)</f>
        <v>15</v>
      </c>
    </row>
    <row r="15" spans="1:18" x14ac:dyDescent="0.2">
      <c r="O15" s="159"/>
    </row>
  </sheetData>
  <mergeCells count="9">
    <mergeCell ref="P2:R2"/>
    <mergeCell ref="N2:O2"/>
    <mergeCell ref="M2:M3"/>
    <mergeCell ref="A2:A3"/>
    <mergeCell ref="B2:B3"/>
    <mergeCell ref="E2:H2"/>
    <mergeCell ref="I2:L2"/>
    <mergeCell ref="D2:D3"/>
    <mergeCell ref="C2:C3"/>
  </mergeCells>
  <pageMargins left="0.25" right="0.25" top="0.75" bottom="0.75" header="0.3" footer="0.3"/>
  <pageSetup paperSize="9" scale="68" orientation="landscape" r:id="rId1"/>
  <ignoredErrors>
    <ignoredError sqref="H9 H12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R23"/>
  <sheetViews>
    <sheetView zoomScale="110" zoomScaleNormal="110" workbookViewId="0">
      <pane xSplit="1" ySplit="5" topLeftCell="B6" activePane="bottomRight" state="frozen"/>
      <selection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RowHeight="12.75" x14ac:dyDescent="0.2"/>
  <cols>
    <col min="1" max="1" width="42.28515625" style="68" customWidth="1"/>
    <col min="2" max="2" width="12.7109375" style="68" customWidth="1"/>
    <col min="3" max="3" width="11.28515625" style="68" customWidth="1"/>
    <col min="4" max="7" width="13.85546875" style="14" customWidth="1"/>
    <col min="8" max="10" width="14.5703125" style="14" customWidth="1"/>
    <col min="11" max="12" width="14.7109375" style="18" customWidth="1"/>
    <col min="13" max="13" width="12.5703125" style="68" customWidth="1"/>
    <col min="14" max="14" width="12.42578125" style="14" customWidth="1"/>
    <col min="15" max="16" width="12.5703125" style="14" customWidth="1"/>
    <col min="17" max="17" width="12.42578125" style="68" customWidth="1"/>
    <col min="18" max="18" width="8.85546875" style="68" customWidth="1"/>
    <col min="19" max="267" width="9.140625" style="68"/>
    <col min="268" max="268" width="22" style="68" customWidth="1"/>
    <col min="269" max="269" width="15.28515625" style="68" customWidth="1"/>
    <col min="270" max="270" width="11.28515625" style="68" customWidth="1"/>
    <col min="271" max="271" width="9.140625" style="68"/>
    <col min="272" max="272" width="12.42578125" style="68" customWidth="1"/>
    <col min="273" max="273" width="9.85546875" style="68" customWidth="1"/>
    <col min="274" max="523" width="9.140625" style="68"/>
    <col min="524" max="524" width="22" style="68" customWidth="1"/>
    <col min="525" max="525" width="15.28515625" style="68" customWidth="1"/>
    <col min="526" max="526" width="11.28515625" style="68" customWidth="1"/>
    <col min="527" max="527" width="9.140625" style="68"/>
    <col min="528" max="528" width="12.42578125" style="68" customWidth="1"/>
    <col min="529" max="529" width="9.85546875" style="68" customWidth="1"/>
    <col min="530" max="779" width="9.140625" style="68"/>
    <col min="780" max="780" width="22" style="68" customWidth="1"/>
    <col min="781" max="781" width="15.28515625" style="68" customWidth="1"/>
    <col min="782" max="782" width="11.28515625" style="68" customWidth="1"/>
    <col min="783" max="783" width="9.140625" style="68"/>
    <col min="784" max="784" width="12.42578125" style="68" customWidth="1"/>
    <col min="785" max="785" width="9.85546875" style="68" customWidth="1"/>
    <col min="786" max="1035" width="9.140625" style="68"/>
    <col min="1036" max="1036" width="22" style="68" customWidth="1"/>
    <col min="1037" max="1037" width="15.28515625" style="68" customWidth="1"/>
    <col min="1038" max="1038" width="11.28515625" style="68" customWidth="1"/>
    <col min="1039" max="1039" width="9.140625" style="68"/>
    <col min="1040" max="1040" width="12.42578125" style="68" customWidth="1"/>
    <col min="1041" max="1041" width="9.85546875" style="68" customWidth="1"/>
    <col min="1042" max="1291" width="9.140625" style="68"/>
    <col min="1292" max="1292" width="22" style="68" customWidth="1"/>
    <col min="1293" max="1293" width="15.28515625" style="68" customWidth="1"/>
    <col min="1294" max="1294" width="11.28515625" style="68" customWidth="1"/>
    <col min="1295" max="1295" width="9.140625" style="68"/>
    <col min="1296" max="1296" width="12.42578125" style="68" customWidth="1"/>
    <col min="1297" max="1297" width="9.85546875" style="68" customWidth="1"/>
    <col min="1298" max="1547" width="9.140625" style="68"/>
    <col min="1548" max="1548" width="22" style="68" customWidth="1"/>
    <col min="1549" max="1549" width="15.28515625" style="68" customWidth="1"/>
    <col min="1550" max="1550" width="11.28515625" style="68" customWidth="1"/>
    <col min="1551" max="1551" width="9.140625" style="68"/>
    <col min="1552" max="1552" width="12.42578125" style="68" customWidth="1"/>
    <col min="1553" max="1553" width="9.85546875" style="68" customWidth="1"/>
    <col min="1554" max="1803" width="9.140625" style="68"/>
    <col min="1804" max="1804" width="22" style="68" customWidth="1"/>
    <col min="1805" max="1805" width="15.28515625" style="68" customWidth="1"/>
    <col min="1806" max="1806" width="11.28515625" style="68" customWidth="1"/>
    <col min="1807" max="1807" width="9.140625" style="68"/>
    <col min="1808" max="1808" width="12.42578125" style="68" customWidth="1"/>
    <col min="1809" max="1809" width="9.85546875" style="68" customWidth="1"/>
    <col min="1810" max="2059" width="9.140625" style="68"/>
    <col min="2060" max="2060" width="22" style="68" customWidth="1"/>
    <col min="2061" max="2061" width="15.28515625" style="68" customWidth="1"/>
    <col min="2062" max="2062" width="11.28515625" style="68" customWidth="1"/>
    <col min="2063" max="2063" width="9.140625" style="68"/>
    <col min="2064" max="2064" width="12.42578125" style="68" customWidth="1"/>
    <col min="2065" max="2065" width="9.85546875" style="68" customWidth="1"/>
    <col min="2066" max="2315" width="9.140625" style="68"/>
    <col min="2316" max="2316" width="22" style="68" customWidth="1"/>
    <col min="2317" max="2317" width="15.28515625" style="68" customWidth="1"/>
    <col min="2318" max="2318" width="11.28515625" style="68" customWidth="1"/>
    <col min="2319" max="2319" width="9.140625" style="68"/>
    <col min="2320" max="2320" width="12.42578125" style="68" customWidth="1"/>
    <col min="2321" max="2321" width="9.85546875" style="68" customWidth="1"/>
    <col min="2322" max="2571" width="9.140625" style="68"/>
    <col min="2572" max="2572" width="22" style="68" customWidth="1"/>
    <col min="2573" max="2573" width="15.28515625" style="68" customWidth="1"/>
    <col min="2574" max="2574" width="11.28515625" style="68" customWidth="1"/>
    <col min="2575" max="2575" width="9.140625" style="68"/>
    <col min="2576" max="2576" width="12.42578125" style="68" customWidth="1"/>
    <col min="2577" max="2577" width="9.85546875" style="68" customWidth="1"/>
    <col min="2578" max="2827" width="9.140625" style="68"/>
    <col min="2828" max="2828" width="22" style="68" customWidth="1"/>
    <col min="2829" max="2829" width="15.28515625" style="68" customWidth="1"/>
    <col min="2830" max="2830" width="11.28515625" style="68" customWidth="1"/>
    <col min="2831" max="2831" width="9.140625" style="68"/>
    <col min="2832" max="2832" width="12.42578125" style="68" customWidth="1"/>
    <col min="2833" max="2833" width="9.85546875" style="68" customWidth="1"/>
    <col min="2834" max="3083" width="9.140625" style="68"/>
    <col min="3084" max="3084" width="22" style="68" customWidth="1"/>
    <col min="3085" max="3085" width="15.28515625" style="68" customWidth="1"/>
    <col min="3086" max="3086" width="11.28515625" style="68" customWidth="1"/>
    <col min="3087" max="3087" width="9.140625" style="68"/>
    <col min="3088" max="3088" width="12.42578125" style="68" customWidth="1"/>
    <col min="3089" max="3089" width="9.85546875" style="68" customWidth="1"/>
    <col min="3090" max="3339" width="9.140625" style="68"/>
    <col min="3340" max="3340" width="22" style="68" customWidth="1"/>
    <col min="3341" max="3341" width="15.28515625" style="68" customWidth="1"/>
    <col min="3342" max="3342" width="11.28515625" style="68" customWidth="1"/>
    <col min="3343" max="3343" width="9.140625" style="68"/>
    <col min="3344" max="3344" width="12.42578125" style="68" customWidth="1"/>
    <col min="3345" max="3345" width="9.85546875" style="68" customWidth="1"/>
    <col min="3346" max="3595" width="9.140625" style="68"/>
    <col min="3596" max="3596" width="22" style="68" customWidth="1"/>
    <col min="3597" max="3597" width="15.28515625" style="68" customWidth="1"/>
    <col min="3598" max="3598" width="11.28515625" style="68" customWidth="1"/>
    <col min="3599" max="3599" width="9.140625" style="68"/>
    <col min="3600" max="3600" width="12.42578125" style="68" customWidth="1"/>
    <col min="3601" max="3601" width="9.85546875" style="68" customWidth="1"/>
    <col min="3602" max="3851" width="9.140625" style="68"/>
    <col min="3852" max="3852" width="22" style="68" customWidth="1"/>
    <col min="3853" max="3853" width="15.28515625" style="68" customWidth="1"/>
    <col min="3854" max="3854" width="11.28515625" style="68" customWidth="1"/>
    <col min="3855" max="3855" width="9.140625" style="68"/>
    <col min="3856" max="3856" width="12.42578125" style="68" customWidth="1"/>
    <col min="3857" max="3857" width="9.85546875" style="68" customWidth="1"/>
    <col min="3858" max="4107" width="9.140625" style="68"/>
    <col min="4108" max="4108" width="22" style="68" customWidth="1"/>
    <col min="4109" max="4109" width="15.28515625" style="68" customWidth="1"/>
    <col min="4110" max="4110" width="11.28515625" style="68" customWidth="1"/>
    <col min="4111" max="4111" width="9.140625" style="68"/>
    <col min="4112" max="4112" width="12.42578125" style="68" customWidth="1"/>
    <col min="4113" max="4113" width="9.85546875" style="68" customWidth="1"/>
    <col min="4114" max="4363" width="9.140625" style="68"/>
    <col min="4364" max="4364" width="22" style="68" customWidth="1"/>
    <col min="4365" max="4365" width="15.28515625" style="68" customWidth="1"/>
    <col min="4366" max="4366" width="11.28515625" style="68" customWidth="1"/>
    <col min="4367" max="4367" width="9.140625" style="68"/>
    <col min="4368" max="4368" width="12.42578125" style="68" customWidth="1"/>
    <col min="4369" max="4369" width="9.85546875" style="68" customWidth="1"/>
    <col min="4370" max="4619" width="9.140625" style="68"/>
    <col min="4620" max="4620" width="22" style="68" customWidth="1"/>
    <col min="4621" max="4621" width="15.28515625" style="68" customWidth="1"/>
    <col min="4622" max="4622" width="11.28515625" style="68" customWidth="1"/>
    <col min="4623" max="4623" width="9.140625" style="68"/>
    <col min="4624" max="4624" width="12.42578125" style="68" customWidth="1"/>
    <col min="4625" max="4625" width="9.85546875" style="68" customWidth="1"/>
    <col min="4626" max="4875" width="9.140625" style="68"/>
    <col min="4876" max="4876" width="22" style="68" customWidth="1"/>
    <col min="4877" max="4877" width="15.28515625" style="68" customWidth="1"/>
    <col min="4878" max="4878" width="11.28515625" style="68" customWidth="1"/>
    <col min="4879" max="4879" width="9.140625" style="68"/>
    <col min="4880" max="4880" width="12.42578125" style="68" customWidth="1"/>
    <col min="4881" max="4881" width="9.85546875" style="68" customWidth="1"/>
    <col min="4882" max="5131" width="9.140625" style="68"/>
    <col min="5132" max="5132" width="22" style="68" customWidth="1"/>
    <col min="5133" max="5133" width="15.28515625" style="68" customWidth="1"/>
    <col min="5134" max="5134" width="11.28515625" style="68" customWidth="1"/>
    <col min="5135" max="5135" width="9.140625" style="68"/>
    <col min="5136" max="5136" width="12.42578125" style="68" customWidth="1"/>
    <col min="5137" max="5137" width="9.85546875" style="68" customWidth="1"/>
    <col min="5138" max="5387" width="9.140625" style="68"/>
    <col min="5388" max="5388" width="22" style="68" customWidth="1"/>
    <col min="5389" max="5389" width="15.28515625" style="68" customWidth="1"/>
    <col min="5390" max="5390" width="11.28515625" style="68" customWidth="1"/>
    <col min="5391" max="5391" width="9.140625" style="68"/>
    <col min="5392" max="5392" width="12.42578125" style="68" customWidth="1"/>
    <col min="5393" max="5393" width="9.85546875" style="68" customWidth="1"/>
    <col min="5394" max="5643" width="9.140625" style="68"/>
    <col min="5644" max="5644" width="22" style="68" customWidth="1"/>
    <col min="5645" max="5645" width="15.28515625" style="68" customWidth="1"/>
    <col min="5646" max="5646" width="11.28515625" style="68" customWidth="1"/>
    <col min="5647" max="5647" width="9.140625" style="68"/>
    <col min="5648" max="5648" width="12.42578125" style="68" customWidth="1"/>
    <col min="5649" max="5649" width="9.85546875" style="68" customWidth="1"/>
    <col min="5650" max="5899" width="9.140625" style="68"/>
    <col min="5900" max="5900" width="22" style="68" customWidth="1"/>
    <col min="5901" max="5901" width="15.28515625" style="68" customWidth="1"/>
    <col min="5902" max="5902" width="11.28515625" style="68" customWidth="1"/>
    <col min="5903" max="5903" width="9.140625" style="68"/>
    <col min="5904" max="5904" width="12.42578125" style="68" customWidth="1"/>
    <col min="5905" max="5905" width="9.85546875" style="68" customWidth="1"/>
    <col min="5906" max="6155" width="9.140625" style="68"/>
    <col min="6156" max="6156" width="22" style="68" customWidth="1"/>
    <col min="6157" max="6157" width="15.28515625" style="68" customWidth="1"/>
    <col min="6158" max="6158" width="11.28515625" style="68" customWidth="1"/>
    <col min="6159" max="6159" width="9.140625" style="68"/>
    <col min="6160" max="6160" width="12.42578125" style="68" customWidth="1"/>
    <col min="6161" max="6161" width="9.85546875" style="68" customWidth="1"/>
    <col min="6162" max="6411" width="9.140625" style="68"/>
    <col min="6412" max="6412" width="22" style="68" customWidth="1"/>
    <col min="6413" max="6413" width="15.28515625" style="68" customWidth="1"/>
    <col min="6414" max="6414" width="11.28515625" style="68" customWidth="1"/>
    <col min="6415" max="6415" width="9.140625" style="68"/>
    <col min="6416" max="6416" width="12.42578125" style="68" customWidth="1"/>
    <col min="6417" max="6417" width="9.85546875" style="68" customWidth="1"/>
    <col min="6418" max="6667" width="9.140625" style="68"/>
    <col min="6668" max="6668" width="22" style="68" customWidth="1"/>
    <col min="6669" max="6669" width="15.28515625" style="68" customWidth="1"/>
    <col min="6670" max="6670" width="11.28515625" style="68" customWidth="1"/>
    <col min="6671" max="6671" width="9.140625" style="68"/>
    <col min="6672" max="6672" width="12.42578125" style="68" customWidth="1"/>
    <col min="6673" max="6673" width="9.85546875" style="68" customWidth="1"/>
    <col min="6674" max="6923" width="9.140625" style="68"/>
    <col min="6924" max="6924" width="22" style="68" customWidth="1"/>
    <col min="6925" max="6925" width="15.28515625" style="68" customWidth="1"/>
    <col min="6926" max="6926" width="11.28515625" style="68" customWidth="1"/>
    <col min="6927" max="6927" width="9.140625" style="68"/>
    <col min="6928" max="6928" width="12.42578125" style="68" customWidth="1"/>
    <col min="6929" max="6929" width="9.85546875" style="68" customWidth="1"/>
    <col min="6930" max="7179" width="9.140625" style="68"/>
    <col min="7180" max="7180" width="22" style="68" customWidth="1"/>
    <col min="7181" max="7181" width="15.28515625" style="68" customWidth="1"/>
    <col min="7182" max="7182" width="11.28515625" style="68" customWidth="1"/>
    <col min="7183" max="7183" width="9.140625" style="68"/>
    <col min="7184" max="7184" width="12.42578125" style="68" customWidth="1"/>
    <col min="7185" max="7185" width="9.85546875" style="68" customWidth="1"/>
    <col min="7186" max="7435" width="9.140625" style="68"/>
    <col min="7436" max="7436" width="22" style="68" customWidth="1"/>
    <col min="7437" max="7437" width="15.28515625" style="68" customWidth="1"/>
    <col min="7438" max="7438" width="11.28515625" style="68" customWidth="1"/>
    <col min="7439" max="7439" width="9.140625" style="68"/>
    <col min="7440" max="7440" width="12.42578125" style="68" customWidth="1"/>
    <col min="7441" max="7441" width="9.85546875" style="68" customWidth="1"/>
    <col min="7442" max="7691" width="9.140625" style="68"/>
    <col min="7692" max="7692" width="22" style="68" customWidth="1"/>
    <col min="7693" max="7693" width="15.28515625" style="68" customWidth="1"/>
    <col min="7694" max="7694" width="11.28515625" style="68" customWidth="1"/>
    <col min="7695" max="7695" width="9.140625" style="68"/>
    <col min="7696" max="7696" width="12.42578125" style="68" customWidth="1"/>
    <col min="7697" max="7697" width="9.85546875" style="68" customWidth="1"/>
    <col min="7698" max="7947" width="9.140625" style="68"/>
    <col min="7948" max="7948" width="22" style="68" customWidth="1"/>
    <col min="7949" max="7949" width="15.28515625" style="68" customWidth="1"/>
    <col min="7950" max="7950" width="11.28515625" style="68" customWidth="1"/>
    <col min="7951" max="7951" width="9.140625" style="68"/>
    <col min="7952" max="7952" width="12.42578125" style="68" customWidth="1"/>
    <col min="7953" max="7953" width="9.85546875" style="68" customWidth="1"/>
    <col min="7954" max="8203" width="9.140625" style="68"/>
    <col min="8204" max="8204" width="22" style="68" customWidth="1"/>
    <col min="8205" max="8205" width="15.28515625" style="68" customWidth="1"/>
    <col min="8206" max="8206" width="11.28515625" style="68" customWidth="1"/>
    <col min="8207" max="8207" width="9.140625" style="68"/>
    <col min="8208" max="8208" width="12.42578125" style="68" customWidth="1"/>
    <col min="8209" max="8209" width="9.85546875" style="68" customWidth="1"/>
    <col min="8210" max="8459" width="9.140625" style="68"/>
    <col min="8460" max="8460" width="22" style="68" customWidth="1"/>
    <col min="8461" max="8461" width="15.28515625" style="68" customWidth="1"/>
    <col min="8462" max="8462" width="11.28515625" style="68" customWidth="1"/>
    <col min="8463" max="8463" width="9.140625" style="68"/>
    <col min="8464" max="8464" width="12.42578125" style="68" customWidth="1"/>
    <col min="8465" max="8465" width="9.85546875" style="68" customWidth="1"/>
    <col min="8466" max="8715" width="9.140625" style="68"/>
    <col min="8716" max="8716" width="22" style="68" customWidth="1"/>
    <col min="8717" max="8717" width="15.28515625" style="68" customWidth="1"/>
    <col min="8718" max="8718" width="11.28515625" style="68" customWidth="1"/>
    <col min="8719" max="8719" width="9.140625" style="68"/>
    <col min="8720" max="8720" width="12.42578125" style="68" customWidth="1"/>
    <col min="8721" max="8721" width="9.85546875" style="68" customWidth="1"/>
    <col min="8722" max="8971" width="9.140625" style="68"/>
    <col min="8972" max="8972" width="22" style="68" customWidth="1"/>
    <col min="8973" max="8973" width="15.28515625" style="68" customWidth="1"/>
    <col min="8974" max="8974" width="11.28515625" style="68" customWidth="1"/>
    <col min="8975" max="8975" width="9.140625" style="68"/>
    <col min="8976" max="8976" width="12.42578125" style="68" customWidth="1"/>
    <col min="8977" max="8977" width="9.85546875" style="68" customWidth="1"/>
    <col min="8978" max="9227" width="9.140625" style="68"/>
    <col min="9228" max="9228" width="22" style="68" customWidth="1"/>
    <col min="9229" max="9229" width="15.28515625" style="68" customWidth="1"/>
    <col min="9230" max="9230" width="11.28515625" style="68" customWidth="1"/>
    <col min="9231" max="9231" width="9.140625" style="68"/>
    <col min="9232" max="9232" width="12.42578125" style="68" customWidth="1"/>
    <col min="9233" max="9233" width="9.85546875" style="68" customWidth="1"/>
    <col min="9234" max="9483" width="9.140625" style="68"/>
    <col min="9484" max="9484" width="22" style="68" customWidth="1"/>
    <col min="9485" max="9485" width="15.28515625" style="68" customWidth="1"/>
    <col min="9486" max="9486" width="11.28515625" style="68" customWidth="1"/>
    <col min="9487" max="9487" width="9.140625" style="68"/>
    <col min="9488" max="9488" width="12.42578125" style="68" customWidth="1"/>
    <col min="9489" max="9489" width="9.85546875" style="68" customWidth="1"/>
    <col min="9490" max="9739" width="9.140625" style="68"/>
    <col min="9740" max="9740" width="22" style="68" customWidth="1"/>
    <col min="9741" max="9741" width="15.28515625" style="68" customWidth="1"/>
    <col min="9742" max="9742" width="11.28515625" style="68" customWidth="1"/>
    <col min="9743" max="9743" width="9.140625" style="68"/>
    <col min="9744" max="9744" width="12.42578125" style="68" customWidth="1"/>
    <col min="9745" max="9745" width="9.85546875" style="68" customWidth="1"/>
    <col min="9746" max="9995" width="9.140625" style="68"/>
    <col min="9996" max="9996" width="22" style="68" customWidth="1"/>
    <col min="9997" max="9997" width="15.28515625" style="68" customWidth="1"/>
    <col min="9998" max="9998" width="11.28515625" style="68" customWidth="1"/>
    <col min="9999" max="9999" width="9.140625" style="68"/>
    <col min="10000" max="10000" width="12.42578125" style="68" customWidth="1"/>
    <col min="10001" max="10001" width="9.85546875" style="68" customWidth="1"/>
    <col min="10002" max="10251" width="9.140625" style="68"/>
    <col min="10252" max="10252" width="22" style="68" customWidth="1"/>
    <col min="10253" max="10253" width="15.28515625" style="68" customWidth="1"/>
    <col min="10254" max="10254" width="11.28515625" style="68" customWidth="1"/>
    <col min="10255" max="10255" width="9.140625" style="68"/>
    <col min="10256" max="10256" width="12.42578125" style="68" customWidth="1"/>
    <col min="10257" max="10257" width="9.85546875" style="68" customWidth="1"/>
    <col min="10258" max="10507" width="9.140625" style="68"/>
    <col min="10508" max="10508" width="22" style="68" customWidth="1"/>
    <col min="10509" max="10509" width="15.28515625" style="68" customWidth="1"/>
    <col min="10510" max="10510" width="11.28515625" style="68" customWidth="1"/>
    <col min="10511" max="10511" width="9.140625" style="68"/>
    <col min="10512" max="10512" width="12.42578125" style="68" customWidth="1"/>
    <col min="10513" max="10513" width="9.85546875" style="68" customWidth="1"/>
    <col min="10514" max="10763" width="9.140625" style="68"/>
    <col min="10764" max="10764" width="22" style="68" customWidth="1"/>
    <col min="10765" max="10765" width="15.28515625" style="68" customWidth="1"/>
    <col min="10766" max="10766" width="11.28515625" style="68" customWidth="1"/>
    <col min="10767" max="10767" width="9.140625" style="68"/>
    <col min="10768" max="10768" width="12.42578125" style="68" customWidth="1"/>
    <col min="10769" max="10769" width="9.85546875" style="68" customWidth="1"/>
    <col min="10770" max="11019" width="9.140625" style="68"/>
    <col min="11020" max="11020" width="22" style="68" customWidth="1"/>
    <col min="11021" max="11021" width="15.28515625" style="68" customWidth="1"/>
    <col min="11022" max="11022" width="11.28515625" style="68" customWidth="1"/>
    <col min="11023" max="11023" width="9.140625" style="68"/>
    <col min="11024" max="11024" width="12.42578125" style="68" customWidth="1"/>
    <col min="11025" max="11025" width="9.85546875" style="68" customWidth="1"/>
    <col min="11026" max="11275" width="9.140625" style="68"/>
    <col min="11276" max="11276" width="22" style="68" customWidth="1"/>
    <col min="11277" max="11277" width="15.28515625" style="68" customWidth="1"/>
    <col min="11278" max="11278" width="11.28515625" style="68" customWidth="1"/>
    <col min="11279" max="11279" width="9.140625" style="68"/>
    <col min="11280" max="11280" width="12.42578125" style="68" customWidth="1"/>
    <col min="11281" max="11281" width="9.85546875" style="68" customWidth="1"/>
    <col min="11282" max="11531" width="9.140625" style="68"/>
    <col min="11532" max="11532" width="22" style="68" customWidth="1"/>
    <col min="11533" max="11533" width="15.28515625" style="68" customWidth="1"/>
    <col min="11534" max="11534" width="11.28515625" style="68" customWidth="1"/>
    <col min="11535" max="11535" width="9.140625" style="68"/>
    <col min="11536" max="11536" width="12.42578125" style="68" customWidth="1"/>
    <col min="11537" max="11537" width="9.85546875" style="68" customWidth="1"/>
    <col min="11538" max="11787" width="9.140625" style="68"/>
    <col min="11788" max="11788" width="22" style="68" customWidth="1"/>
    <col min="11789" max="11789" width="15.28515625" style="68" customWidth="1"/>
    <col min="11790" max="11790" width="11.28515625" style="68" customWidth="1"/>
    <col min="11791" max="11791" width="9.140625" style="68"/>
    <col min="11792" max="11792" width="12.42578125" style="68" customWidth="1"/>
    <col min="11793" max="11793" width="9.85546875" style="68" customWidth="1"/>
    <col min="11794" max="12043" width="9.140625" style="68"/>
    <col min="12044" max="12044" width="22" style="68" customWidth="1"/>
    <col min="12045" max="12045" width="15.28515625" style="68" customWidth="1"/>
    <col min="12046" max="12046" width="11.28515625" style="68" customWidth="1"/>
    <col min="12047" max="12047" width="9.140625" style="68"/>
    <col min="12048" max="12048" width="12.42578125" style="68" customWidth="1"/>
    <col min="12049" max="12049" width="9.85546875" style="68" customWidth="1"/>
    <col min="12050" max="12299" width="9.140625" style="68"/>
    <col min="12300" max="12300" width="22" style="68" customWidth="1"/>
    <col min="12301" max="12301" width="15.28515625" style="68" customWidth="1"/>
    <col min="12302" max="12302" width="11.28515625" style="68" customWidth="1"/>
    <col min="12303" max="12303" width="9.140625" style="68"/>
    <col min="12304" max="12304" width="12.42578125" style="68" customWidth="1"/>
    <col min="12305" max="12305" width="9.85546875" style="68" customWidth="1"/>
    <col min="12306" max="12555" width="9.140625" style="68"/>
    <col min="12556" max="12556" width="22" style="68" customWidth="1"/>
    <col min="12557" max="12557" width="15.28515625" style="68" customWidth="1"/>
    <col min="12558" max="12558" width="11.28515625" style="68" customWidth="1"/>
    <col min="12559" max="12559" width="9.140625" style="68"/>
    <col min="12560" max="12560" width="12.42578125" style="68" customWidth="1"/>
    <col min="12561" max="12561" width="9.85546875" style="68" customWidth="1"/>
    <col min="12562" max="12811" width="9.140625" style="68"/>
    <col min="12812" max="12812" width="22" style="68" customWidth="1"/>
    <col min="12813" max="12813" width="15.28515625" style="68" customWidth="1"/>
    <col min="12814" max="12814" width="11.28515625" style="68" customWidth="1"/>
    <col min="12815" max="12815" width="9.140625" style="68"/>
    <col min="12816" max="12816" width="12.42578125" style="68" customWidth="1"/>
    <col min="12817" max="12817" width="9.85546875" style="68" customWidth="1"/>
    <col min="12818" max="13067" width="9.140625" style="68"/>
    <col min="13068" max="13068" width="22" style="68" customWidth="1"/>
    <col min="13069" max="13069" width="15.28515625" style="68" customWidth="1"/>
    <col min="13070" max="13070" width="11.28515625" style="68" customWidth="1"/>
    <col min="13071" max="13071" width="9.140625" style="68"/>
    <col min="13072" max="13072" width="12.42578125" style="68" customWidth="1"/>
    <col min="13073" max="13073" width="9.85546875" style="68" customWidth="1"/>
    <col min="13074" max="13323" width="9.140625" style="68"/>
    <col min="13324" max="13324" width="22" style="68" customWidth="1"/>
    <col min="13325" max="13325" width="15.28515625" style="68" customWidth="1"/>
    <col min="13326" max="13326" width="11.28515625" style="68" customWidth="1"/>
    <col min="13327" max="13327" width="9.140625" style="68"/>
    <col min="13328" max="13328" width="12.42578125" style="68" customWidth="1"/>
    <col min="13329" max="13329" width="9.85546875" style="68" customWidth="1"/>
    <col min="13330" max="13579" width="9.140625" style="68"/>
    <col min="13580" max="13580" width="22" style="68" customWidth="1"/>
    <col min="13581" max="13581" width="15.28515625" style="68" customWidth="1"/>
    <col min="13582" max="13582" width="11.28515625" style="68" customWidth="1"/>
    <col min="13583" max="13583" width="9.140625" style="68"/>
    <col min="13584" max="13584" width="12.42578125" style="68" customWidth="1"/>
    <col min="13585" max="13585" width="9.85546875" style="68" customWidth="1"/>
    <col min="13586" max="13835" width="9.140625" style="68"/>
    <col min="13836" max="13836" width="22" style="68" customWidth="1"/>
    <col min="13837" max="13837" width="15.28515625" style="68" customWidth="1"/>
    <col min="13838" max="13838" width="11.28515625" style="68" customWidth="1"/>
    <col min="13839" max="13839" width="9.140625" style="68"/>
    <col min="13840" max="13840" width="12.42578125" style="68" customWidth="1"/>
    <col min="13841" max="13841" width="9.85546875" style="68" customWidth="1"/>
    <col min="13842" max="14091" width="9.140625" style="68"/>
    <col min="14092" max="14092" width="22" style="68" customWidth="1"/>
    <col min="14093" max="14093" width="15.28515625" style="68" customWidth="1"/>
    <col min="14094" max="14094" width="11.28515625" style="68" customWidth="1"/>
    <col min="14095" max="14095" width="9.140625" style="68"/>
    <col min="14096" max="14096" width="12.42578125" style="68" customWidth="1"/>
    <col min="14097" max="14097" width="9.85546875" style="68" customWidth="1"/>
    <col min="14098" max="14347" width="9.140625" style="68"/>
    <col min="14348" max="14348" width="22" style="68" customWidth="1"/>
    <col min="14349" max="14349" width="15.28515625" style="68" customWidth="1"/>
    <col min="14350" max="14350" width="11.28515625" style="68" customWidth="1"/>
    <col min="14351" max="14351" width="9.140625" style="68"/>
    <col min="14352" max="14352" width="12.42578125" style="68" customWidth="1"/>
    <col min="14353" max="14353" width="9.85546875" style="68" customWidth="1"/>
    <col min="14354" max="14603" width="9.140625" style="68"/>
    <col min="14604" max="14604" width="22" style="68" customWidth="1"/>
    <col min="14605" max="14605" width="15.28515625" style="68" customWidth="1"/>
    <col min="14606" max="14606" width="11.28515625" style="68" customWidth="1"/>
    <col min="14607" max="14607" width="9.140625" style="68"/>
    <col min="14608" max="14608" width="12.42578125" style="68" customWidth="1"/>
    <col min="14609" max="14609" width="9.85546875" style="68" customWidth="1"/>
    <col min="14610" max="14859" width="9.140625" style="68"/>
    <col min="14860" max="14860" width="22" style="68" customWidth="1"/>
    <col min="14861" max="14861" width="15.28515625" style="68" customWidth="1"/>
    <col min="14862" max="14862" width="11.28515625" style="68" customWidth="1"/>
    <col min="14863" max="14863" width="9.140625" style="68"/>
    <col min="14864" max="14864" width="12.42578125" style="68" customWidth="1"/>
    <col min="14865" max="14865" width="9.85546875" style="68" customWidth="1"/>
    <col min="14866" max="15115" width="9.140625" style="68"/>
    <col min="15116" max="15116" width="22" style="68" customWidth="1"/>
    <col min="15117" max="15117" width="15.28515625" style="68" customWidth="1"/>
    <col min="15118" max="15118" width="11.28515625" style="68" customWidth="1"/>
    <col min="15119" max="15119" width="9.140625" style="68"/>
    <col min="15120" max="15120" width="12.42578125" style="68" customWidth="1"/>
    <col min="15121" max="15121" width="9.85546875" style="68" customWidth="1"/>
    <col min="15122" max="15371" width="9.140625" style="68"/>
    <col min="15372" max="15372" width="22" style="68" customWidth="1"/>
    <col min="15373" max="15373" width="15.28515625" style="68" customWidth="1"/>
    <col min="15374" max="15374" width="11.28515625" style="68" customWidth="1"/>
    <col min="15375" max="15375" width="9.140625" style="68"/>
    <col min="15376" max="15376" width="12.42578125" style="68" customWidth="1"/>
    <col min="15377" max="15377" width="9.85546875" style="68" customWidth="1"/>
    <col min="15378" max="15627" width="9.140625" style="68"/>
    <col min="15628" max="15628" width="22" style="68" customWidth="1"/>
    <col min="15629" max="15629" width="15.28515625" style="68" customWidth="1"/>
    <col min="15630" max="15630" width="11.28515625" style="68" customWidth="1"/>
    <col min="15631" max="15631" width="9.140625" style="68"/>
    <col min="15632" max="15632" width="12.42578125" style="68" customWidth="1"/>
    <col min="15633" max="15633" width="9.85546875" style="68" customWidth="1"/>
    <col min="15634" max="15883" width="9.140625" style="68"/>
    <col min="15884" max="15884" width="22" style="68" customWidth="1"/>
    <col min="15885" max="15885" width="15.28515625" style="68" customWidth="1"/>
    <col min="15886" max="15886" width="11.28515625" style="68" customWidth="1"/>
    <col min="15887" max="15887" width="9.140625" style="68"/>
    <col min="15888" max="15888" width="12.42578125" style="68" customWidth="1"/>
    <col min="15889" max="15889" width="9.85546875" style="68" customWidth="1"/>
    <col min="15890" max="16139" width="9.140625" style="68"/>
    <col min="16140" max="16140" width="22" style="68" customWidth="1"/>
    <col min="16141" max="16141" width="15.28515625" style="68" customWidth="1"/>
    <col min="16142" max="16142" width="11.28515625" style="68" customWidth="1"/>
    <col min="16143" max="16143" width="9.140625" style="68"/>
    <col min="16144" max="16144" width="12.42578125" style="68" customWidth="1"/>
    <col min="16145" max="16145" width="9.85546875" style="68" customWidth="1"/>
    <col min="16146" max="16384" width="9.140625" style="68"/>
  </cols>
  <sheetData>
    <row r="1" spans="1:18" x14ac:dyDescent="0.2">
      <c r="A1" s="1033" t="s">
        <v>656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213"/>
    </row>
    <row r="2" spans="1:18" s="697" customFormat="1" ht="15" customHeight="1" x14ac:dyDescent="0.2">
      <c r="A2" s="1031" t="s">
        <v>132</v>
      </c>
      <c r="B2" s="1045" t="str">
        <f>Водопотребление!B2</f>
        <v xml:space="preserve">Нормативная численность обучающихся </v>
      </c>
      <c r="C2" s="1031" t="s">
        <v>24</v>
      </c>
      <c r="D2" s="1037" t="s">
        <v>2</v>
      </c>
      <c r="E2" s="1038"/>
      <c r="F2" s="1038"/>
      <c r="G2" s="1039"/>
      <c r="H2" s="1028" t="s">
        <v>338</v>
      </c>
      <c r="I2" s="1028" t="s">
        <v>370</v>
      </c>
      <c r="J2" s="1028" t="s">
        <v>403</v>
      </c>
      <c r="K2" s="1031" t="s">
        <v>335</v>
      </c>
      <c r="L2" s="1031"/>
      <c r="M2" s="1059" t="s">
        <v>322</v>
      </c>
      <c r="N2" s="1028" t="s">
        <v>338</v>
      </c>
      <c r="O2" s="1028" t="s">
        <v>370</v>
      </c>
      <c r="P2" s="1028" t="s">
        <v>403</v>
      </c>
      <c r="Q2" s="107"/>
    </row>
    <row r="3" spans="1:18" s="697" customFormat="1" ht="31.9" customHeight="1" x14ac:dyDescent="0.2">
      <c r="A3" s="1031"/>
      <c r="B3" s="1045"/>
      <c r="C3" s="1031"/>
      <c r="D3" s="684">
        <v>2020</v>
      </c>
      <c r="E3" s="684">
        <v>2021</v>
      </c>
      <c r="F3" s="684">
        <v>2022</v>
      </c>
      <c r="G3" s="684">
        <v>2023</v>
      </c>
      <c r="H3" s="1040"/>
      <c r="I3" s="1040"/>
      <c r="J3" s="1040"/>
      <c r="K3" s="1031"/>
      <c r="L3" s="1031"/>
      <c r="M3" s="1059"/>
      <c r="N3" s="1029"/>
      <c r="O3" s="1029"/>
      <c r="P3" s="1029"/>
    </row>
    <row r="4" spans="1:18" s="697" customFormat="1" ht="23.45" customHeight="1" x14ac:dyDescent="0.2">
      <c r="A4" s="1031"/>
      <c r="B4" s="1045"/>
      <c r="C4" s="1031"/>
      <c r="D4" s="1037" t="s">
        <v>22</v>
      </c>
      <c r="E4" s="1038"/>
      <c r="F4" s="1038"/>
      <c r="G4" s="1039"/>
      <c r="H4" s="1040"/>
      <c r="I4" s="1040"/>
      <c r="J4" s="1040"/>
      <c r="K4" s="1031" t="s">
        <v>24</v>
      </c>
      <c r="L4" s="1031" t="s">
        <v>33</v>
      </c>
      <c r="M4" s="1059"/>
      <c r="N4" s="1029"/>
      <c r="O4" s="1029"/>
      <c r="P4" s="1029"/>
      <c r="Q4" s="698"/>
      <c r="R4" s="698"/>
    </row>
    <row r="5" spans="1:18" s="697" customFormat="1" x14ac:dyDescent="0.2">
      <c r="A5" s="1031"/>
      <c r="B5" s="1045"/>
      <c r="C5" s="1031"/>
      <c r="D5" s="684">
        <v>1</v>
      </c>
      <c r="E5" s="684">
        <v>1.04</v>
      </c>
      <c r="F5" s="684">
        <v>1.04</v>
      </c>
      <c r="G5" s="684">
        <v>1.0409999999999999</v>
      </c>
      <c r="H5" s="1041"/>
      <c r="I5" s="1041"/>
      <c r="J5" s="1041"/>
      <c r="K5" s="1031"/>
      <c r="L5" s="1031"/>
      <c r="M5" s="1059"/>
      <c r="N5" s="1030"/>
      <c r="O5" s="1030"/>
      <c r="P5" s="1030"/>
      <c r="Q5" s="699"/>
    </row>
    <row r="6" spans="1:18" x14ac:dyDescent="0.2">
      <c r="A6" s="38" t="str">
        <f>Водоотведение!A6</f>
        <v>МАДОУ ЦРР-детский сад № 2</v>
      </c>
      <c r="B6" s="588">
        <f>Водопотребление!B6</f>
        <v>506</v>
      </c>
      <c r="C6" s="568">
        <v>10.042199999999999</v>
      </c>
      <c r="D6" s="654">
        <v>5824.79</v>
      </c>
      <c r="E6" s="654">
        <v>5604.83</v>
      </c>
      <c r="F6" s="654">
        <v>5658.74</v>
      </c>
      <c r="G6" s="808">
        <v>5829.75</v>
      </c>
      <c r="H6" s="690">
        <f>ROUND(C6*E6,0)</f>
        <v>56285</v>
      </c>
      <c r="I6" s="690">
        <f>ROUND(C6*F6,0)</f>
        <v>56826</v>
      </c>
      <c r="J6" s="690">
        <f>ROUND(C6*G6,0)</f>
        <v>58544</v>
      </c>
      <c r="K6" s="584"/>
      <c r="L6" s="584"/>
      <c r="M6" s="600">
        <f t="shared" ref="M6:M14" si="0">ROUND((C6-K6)/B6,3)</f>
        <v>0.02</v>
      </c>
      <c r="N6" s="689">
        <f>ROUND(E6*B6*M6,2)</f>
        <v>56720.88</v>
      </c>
      <c r="O6" s="689">
        <f>ROUND(F6*B6*M6,2)</f>
        <v>57266.45</v>
      </c>
      <c r="P6" s="689">
        <f>ROUND(G6*B6*M6,2)</f>
        <v>58997.07</v>
      </c>
      <c r="Q6" s="575"/>
      <c r="R6" s="665" t="s">
        <v>437</v>
      </c>
    </row>
    <row r="7" spans="1:18" x14ac:dyDescent="0.2">
      <c r="A7" s="38" t="str">
        <f>Водоотведение!A7</f>
        <v>МАДОУ ЦРР-детский сад № 11</v>
      </c>
      <c r="B7" s="588">
        <f>Водопотребление!B7</f>
        <v>559</v>
      </c>
      <c r="C7" s="568">
        <f>11.95501</f>
        <v>11.95501</v>
      </c>
      <c r="D7" s="689">
        <v>5824.79</v>
      </c>
      <c r="E7" s="689">
        <v>5604.83</v>
      </c>
      <c r="F7" s="689">
        <v>5658.74</v>
      </c>
      <c r="G7" s="808">
        <v>5829.75</v>
      </c>
      <c r="H7" s="690">
        <f t="shared" ref="H7:H14" si="1">ROUND(C7*E7,0)</f>
        <v>67006</v>
      </c>
      <c r="I7" s="690">
        <f t="shared" ref="I7:I14" si="2">ROUND(C7*F7,0)</f>
        <v>67650</v>
      </c>
      <c r="J7" s="690">
        <f t="shared" ref="J7:J14" si="3">ROUND(C7*G7,0)</f>
        <v>69695</v>
      </c>
      <c r="K7" s="584"/>
      <c r="L7" s="584"/>
      <c r="M7" s="600">
        <f t="shared" si="0"/>
        <v>2.1000000000000001E-2</v>
      </c>
      <c r="N7" s="689">
        <f t="shared" ref="N7:N14" si="4">ROUND(E7*B7*M7,2)</f>
        <v>65795.100000000006</v>
      </c>
      <c r="O7" s="689">
        <f t="shared" ref="O7:O14" si="5">ROUND(F7*B7*M7,2)</f>
        <v>66427.95</v>
      </c>
      <c r="P7" s="689">
        <f t="shared" ref="P7:P14" si="6">ROUND(G7*B7*M7,2)</f>
        <v>68435.44</v>
      </c>
      <c r="Q7" s="576"/>
      <c r="R7" s="665" t="s">
        <v>446</v>
      </c>
    </row>
    <row r="8" spans="1:18" s="662" customFormat="1" x14ac:dyDescent="0.2">
      <c r="A8" s="38" t="str">
        <f>Водоотведение!A8</f>
        <v>МАДОУ ЦРР-детский сад № 13</v>
      </c>
      <c r="B8" s="588">
        <f>Водопотребление!B8</f>
        <v>633</v>
      </c>
      <c r="C8" s="568">
        <f>14.346</f>
        <v>14.346</v>
      </c>
      <c r="D8" s="689">
        <v>5824.79</v>
      </c>
      <c r="E8" s="689">
        <v>5604.83</v>
      </c>
      <c r="F8" s="689">
        <v>5658.74</v>
      </c>
      <c r="G8" s="808">
        <v>5829.75</v>
      </c>
      <c r="H8" s="690">
        <f t="shared" si="1"/>
        <v>80407</v>
      </c>
      <c r="I8" s="690">
        <f t="shared" si="2"/>
        <v>81180</v>
      </c>
      <c r="J8" s="690">
        <f t="shared" si="3"/>
        <v>83634</v>
      </c>
      <c r="K8" s="201"/>
      <c r="L8" s="201"/>
      <c r="M8" s="600">
        <f t="shared" si="0"/>
        <v>2.3E-2</v>
      </c>
      <c r="N8" s="689">
        <f t="shared" si="4"/>
        <v>81600.72</v>
      </c>
      <c r="O8" s="689">
        <f t="shared" si="5"/>
        <v>82385.600000000006</v>
      </c>
      <c r="P8" s="689">
        <f t="shared" si="6"/>
        <v>84875.33</v>
      </c>
      <c r="Q8" s="664"/>
      <c r="R8" s="665" t="s">
        <v>449</v>
      </c>
    </row>
    <row r="9" spans="1:18" s="662" customFormat="1" x14ac:dyDescent="0.2">
      <c r="A9" s="38" t="str">
        <f>Водоотведение!A9</f>
        <v>МАОУ СОШ № 1 структурное подразделение</v>
      </c>
      <c r="B9" s="588">
        <f>Водопотребление!B9</f>
        <v>381</v>
      </c>
      <c r="C9" s="717">
        <f>18.6498+6.33615</f>
        <v>24.985949999999999</v>
      </c>
      <c r="D9" s="722">
        <v>5824.79</v>
      </c>
      <c r="E9" s="722">
        <v>5604.83</v>
      </c>
      <c r="F9" s="722">
        <v>5658.74</v>
      </c>
      <c r="G9" s="808">
        <v>5829.75</v>
      </c>
      <c r="H9" s="722">
        <f t="shared" si="1"/>
        <v>140042</v>
      </c>
      <c r="I9" s="722">
        <f t="shared" si="2"/>
        <v>141389</v>
      </c>
      <c r="J9" s="722">
        <f t="shared" si="3"/>
        <v>145662</v>
      </c>
      <c r="K9" s="716"/>
      <c r="L9" s="716"/>
      <c r="M9" s="600">
        <f t="shared" si="0"/>
        <v>6.6000000000000003E-2</v>
      </c>
      <c r="N9" s="722">
        <f t="shared" si="4"/>
        <v>140939.06</v>
      </c>
      <c r="O9" s="722">
        <f t="shared" si="5"/>
        <v>142294.68</v>
      </c>
      <c r="P9" s="722">
        <f t="shared" si="6"/>
        <v>146594.89000000001</v>
      </c>
      <c r="Q9" s="664"/>
      <c r="R9" s="665" t="s">
        <v>483</v>
      </c>
    </row>
    <row r="10" spans="1:18" s="18" customFormat="1" ht="25.5" x14ac:dyDescent="0.2">
      <c r="A10" s="46" t="str">
        <f>Водоотведение!A10</f>
        <v>МАОУ СОШ № 2 им.М.И.Грибушина структурное подразделение</v>
      </c>
      <c r="B10" s="588">
        <f>Водопотребление!B10</f>
        <v>288</v>
      </c>
      <c r="C10" s="631">
        <f>3.1083+6.2166</f>
        <v>9.3248999999999995</v>
      </c>
      <c r="D10" s="689">
        <v>5824.79</v>
      </c>
      <c r="E10" s="689">
        <v>5604.83</v>
      </c>
      <c r="F10" s="689">
        <v>5658.74</v>
      </c>
      <c r="G10" s="808">
        <v>5829.75</v>
      </c>
      <c r="H10" s="690">
        <f t="shared" si="1"/>
        <v>52264</v>
      </c>
      <c r="I10" s="690">
        <f t="shared" si="2"/>
        <v>52767</v>
      </c>
      <c r="J10" s="690">
        <f t="shared" si="3"/>
        <v>54362</v>
      </c>
      <c r="K10" s="637"/>
      <c r="L10" s="637"/>
      <c r="M10" s="600">
        <f t="shared" si="0"/>
        <v>3.2000000000000001E-2</v>
      </c>
      <c r="N10" s="689">
        <f t="shared" si="4"/>
        <v>51654.11</v>
      </c>
      <c r="O10" s="689">
        <f t="shared" si="5"/>
        <v>52150.95</v>
      </c>
      <c r="P10" s="689">
        <f t="shared" si="6"/>
        <v>53726.98</v>
      </c>
      <c r="Q10" s="664"/>
      <c r="R10" s="665" t="s">
        <v>488</v>
      </c>
    </row>
    <row r="11" spans="1:18" s="18" customFormat="1" x14ac:dyDescent="0.2">
      <c r="A11" s="38" t="str">
        <f>Водоотведение!A11</f>
        <v>МАОУ СОШ № 10 структурное подразделение</v>
      </c>
      <c r="B11" s="588">
        <f>Водопотребление!B11</f>
        <v>262</v>
      </c>
      <c r="C11" s="631">
        <f>3.16808+3.16808</f>
        <v>6.3361599999999996</v>
      </c>
      <c r="D11" s="689">
        <v>5824.79</v>
      </c>
      <c r="E11" s="689">
        <v>5604.83</v>
      </c>
      <c r="F11" s="689">
        <v>5658.74</v>
      </c>
      <c r="G11" s="808">
        <v>5829.75</v>
      </c>
      <c r="H11" s="690">
        <f t="shared" si="1"/>
        <v>35513</v>
      </c>
      <c r="I11" s="690">
        <f t="shared" si="2"/>
        <v>35855</v>
      </c>
      <c r="J11" s="690">
        <f t="shared" si="3"/>
        <v>36938</v>
      </c>
      <c r="K11" s="637"/>
      <c r="L11" s="637"/>
      <c r="M11" s="600">
        <f t="shared" si="0"/>
        <v>2.4E-2</v>
      </c>
      <c r="N11" s="689">
        <f t="shared" si="4"/>
        <v>35243.17</v>
      </c>
      <c r="O11" s="689">
        <f t="shared" si="5"/>
        <v>35582.160000000003</v>
      </c>
      <c r="P11" s="689">
        <f t="shared" si="6"/>
        <v>36657.47</v>
      </c>
      <c r="Q11" s="576"/>
      <c r="R11" s="665" t="s">
        <v>495</v>
      </c>
    </row>
    <row r="12" spans="1:18" s="18" customFormat="1" x14ac:dyDescent="0.2">
      <c r="A12" s="38" t="str">
        <f>Водоотведение!A12</f>
        <v>МАОУ СОШ № 13 структурное подразделение</v>
      </c>
      <c r="B12" s="588">
        <f>Водопотребление!B12</f>
        <v>224</v>
      </c>
      <c r="C12" s="568">
        <f>4.14</f>
        <v>4.1399999999999997</v>
      </c>
      <c r="D12" s="689">
        <v>5824.79</v>
      </c>
      <c r="E12" s="689">
        <v>5604.83</v>
      </c>
      <c r="F12" s="689">
        <v>5658.74</v>
      </c>
      <c r="G12" s="808">
        <v>5829.75</v>
      </c>
      <c r="H12" s="690">
        <f t="shared" si="1"/>
        <v>23204</v>
      </c>
      <c r="I12" s="690">
        <f t="shared" si="2"/>
        <v>23427</v>
      </c>
      <c r="J12" s="690">
        <f t="shared" si="3"/>
        <v>24135</v>
      </c>
      <c r="K12" s="201"/>
      <c r="L12" s="201"/>
      <c r="M12" s="600">
        <f t="shared" si="0"/>
        <v>1.7999999999999999E-2</v>
      </c>
      <c r="N12" s="689">
        <f t="shared" si="4"/>
        <v>22598.67</v>
      </c>
      <c r="O12" s="689">
        <f t="shared" si="5"/>
        <v>22816.04</v>
      </c>
      <c r="P12" s="689">
        <f t="shared" si="6"/>
        <v>23505.55</v>
      </c>
      <c r="Q12" s="664"/>
      <c r="R12" s="665" t="s">
        <v>505</v>
      </c>
    </row>
    <row r="13" spans="1:18" s="18" customFormat="1" x14ac:dyDescent="0.2">
      <c r="A13" s="38" t="str">
        <f>Водоотведение!A13</f>
        <v>Гимназия № 16 структурное подразделение</v>
      </c>
      <c r="B13" s="588">
        <f>Водопотребление!B13</f>
        <v>456</v>
      </c>
      <c r="C13" s="631">
        <f>4.3038</f>
        <v>4.3037999999999998</v>
      </c>
      <c r="D13" s="689">
        <v>5824.79</v>
      </c>
      <c r="E13" s="689">
        <v>5604.83</v>
      </c>
      <c r="F13" s="689">
        <v>5658.74</v>
      </c>
      <c r="G13" s="808">
        <v>5829.75</v>
      </c>
      <c r="H13" s="690">
        <f t="shared" si="1"/>
        <v>24122</v>
      </c>
      <c r="I13" s="690">
        <f t="shared" si="2"/>
        <v>24354</v>
      </c>
      <c r="J13" s="690">
        <f t="shared" si="3"/>
        <v>25090</v>
      </c>
      <c r="K13" s="637"/>
      <c r="L13" s="637"/>
      <c r="M13" s="600">
        <f t="shared" si="0"/>
        <v>8.9999999999999993E-3</v>
      </c>
      <c r="N13" s="689">
        <f t="shared" si="4"/>
        <v>23002.22</v>
      </c>
      <c r="O13" s="689">
        <f t="shared" si="5"/>
        <v>23223.47</v>
      </c>
      <c r="P13" s="689">
        <f t="shared" si="6"/>
        <v>23925.29</v>
      </c>
      <c r="Q13" s="576"/>
      <c r="R13" s="665" t="s">
        <v>482</v>
      </c>
    </row>
    <row r="14" spans="1:18" s="18" customFormat="1" ht="27.75" customHeight="1" thickBot="1" x14ac:dyDescent="0.25">
      <c r="A14" s="46" t="str">
        <f>Водоотведение!A14</f>
        <v>МАОУ ООШ № 17 с кадетскими классами структурное подразделение</v>
      </c>
      <c r="B14" s="588">
        <f>Водопотребление!B14</f>
        <v>189</v>
      </c>
      <c r="C14" s="568">
        <f>3.16808</f>
        <v>3.1680799999999998</v>
      </c>
      <c r="D14" s="689">
        <v>5824.79</v>
      </c>
      <c r="E14" s="689">
        <v>5604.83</v>
      </c>
      <c r="F14" s="689">
        <v>5658.74</v>
      </c>
      <c r="G14" s="808">
        <v>5829.75</v>
      </c>
      <c r="H14" s="690">
        <f t="shared" si="1"/>
        <v>17757</v>
      </c>
      <c r="I14" s="690">
        <f t="shared" si="2"/>
        <v>17927</v>
      </c>
      <c r="J14" s="690">
        <f t="shared" si="3"/>
        <v>18469</v>
      </c>
      <c r="K14" s="201"/>
      <c r="L14" s="201"/>
      <c r="M14" s="600">
        <f t="shared" si="0"/>
        <v>1.7000000000000001E-2</v>
      </c>
      <c r="N14" s="689">
        <f t="shared" si="4"/>
        <v>18008.32</v>
      </c>
      <c r="O14" s="689">
        <f t="shared" si="5"/>
        <v>18181.53</v>
      </c>
      <c r="P14" s="689">
        <f t="shared" si="6"/>
        <v>18730.990000000002</v>
      </c>
      <c r="R14" s="18" t="s">
        <v>500</v>
      </c>
    </row>
    <row r="15" spans="1:18" s="18" customFormat="1" ht="13.5" thickBot="1" x14ac:dyDescent="0.25">
      <c r="A15" s="69" t="s">
        <v>182</v>
      </c>
      <c r="B15" s="296">
        <f>SUM(B6:B14)</f>
        <v>3498</v>
      </c>
      <c r="C15" s="114">
        <f>SUM(C6:C14)</f>
        <v>88.602099999999993</v>
      </c>
      <c r="D15" s="388">
        <f>ROUND(AVERAGE(D6:D14),2)</f>
        <v>5824.79</v>
      </c>
      <c r="E15" s="388">
        <f>ROUND(AVERAGE(E6:E14),2)</f>
        <v>5604.83</v>
      </c>
      <c r="F15" s="388">
        <f>ROUND(AVERAGE(F6:F14),2)</f>
        <v>5658.74</v>
      </c>
      <c r="G15" s="388">
        <f>ROUND(AVERAGE(G6:G14),2)</f>
        <v>5829.75</v>
      </c>
      <c r="H15" s="108">
        <f>SUM(H6:H14)</f>
        <v>496600</v>
      </c>
      <c r="I15" s="108">
        <f>SUM(I6:I14)</f>
        <v>501375</v>
      </c>
      <c r="J15" s="108">
        <f>SUM(J6:J14)</f>
        <v>516529</v>
      </c>
      <c r="K15" s="22">
        <f>SUM(K6:K14)</f>
        <v>0</v>
      </c>
      <c r="L15" s="503"/>
      <c r="M15" s="389">
        <f>ROUND(MEDIAN(M6:M14),3)</f>
        <v>2.1000000000000001E-2</v>
      </c>
      <c r="N15" s="108">
        <f>SUM(N6:N14)</f>
        <v>495562.24999999994</v>
      </c>
      <c r="O15" s="108">
        <f>SUM(O6:O14)</f>
        <v>500328.83000000007</v>
      </c>
      <c r="P15" s="108">
        <f>SUM(P6:P14)</f>
        <v>515449.01</v>
      </c>
    </row>
    <row r="16" spans="1:18" x14ac:dyDescent="0.2">
      <c r="H16" s="142"/>
      <c r="I16" s="142"/>
      <c r="J16" s="142"/>
      <c r="K16" s="700"/>
      <c r="L16" s="700"/>
      <c r="M16" s="138" t="s">
        <v>240</v>
      </c>
      <c r="N16" s="443">
        <f>ROUND(E15*M15,2)</f>
        <v>117.7</v>
      </c>
      <c r="O16" s="443">
        <f>ROUND(F15*M15,2)</f>
        <v>118.83</v>
      </c>
      <c r="P16" s="443">
        <f>ROUND(G15*M15,2)</f>
        <v>122.42</v>
      </c>
    </row>
    <row r="19" spans="1:16" x14ac:dyDescent="0.2">
      <c r="A19" s="68" t="s">
        <v>509</v>
      </c>
      <c r="H19" s="78"/>
      <c r="I19" s="78"/>
      <c r="J19" s="78"/>
      <c r="K19" s="143"/>
      <c r="L19" s="143"/>
      <c r="N19" s="78"/>
      <c r="O19" s="78"/>
      <c r="P19" s="78"/>
    </row>
    <row r="20" spans="1:16" x14ac:dyDescent="0.2">
      <c r="A20" s="68" t="s">
        <v>510</v>
      </c>
    </row>
    <row r="21" spans="1:16" x14ac:dyDescent="0.2">
      <c r="A21" s="68" t="s">
        <v>512</v>
      </c>
    </row>
    <row r="22" spans="1:16" x14ac:dyDescent="0.2">
      <c r="A22" s="68" t="s">
        <v>511</v>
      </c>
    </row>
    <row r="23" spans="1:16" x14ac:dyDescent="0.2">
      <c r="A23" s="68" t="s">
        <v>513</v>
      </c>
    </row>
  </sheetData>
  <mergeCells count="16">
    <mergeCell ref="A1:P1"/>
    <mergeCell ref="N2:N5"/>
    <mergeCell ref="O2:O5"/>
    <mergeCell ref="P2:P5"/>
    <mergeCell ref="B2:B5"/>
    <mergeCell ref="A2:A5"/>
    <mergeCell ref="D2:G2"/>
    <mergeCell ref="H2:H5"/>
    <mergeCell ref="I2:I5"/>
    <mergeCell ref="D4:G4"/>
    <mergeCell ref="K4:K5"/>
    <mergeCell ref="L4:L5"/>
    <mergeCell ref="K2:L3"/>
    <mergeCell ref="M2:M5"/>
    <mergeCell ref="C2:C5"/>
    <mergeCell ref="J2:J5"/>
  </mergeCells>
  <pageMargins left="0.75" right="0.75" top="1" bottom="1" header="0.5" footer="0.5"/>
  <pageSetup paperSize="9" scale="52" orientation="portrait" r:id="rId1"/>
  <headerFooter alignWithMargins="0"/>
  <colBreaks count="2" manualBreakCount="2">
    <brk id="4" max="17" man="1"/>
    <brk id="16" max="1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V19"/>
  <sheetViews>
    <sheetView zoomScale="110" zoomScaleNormal="110" workbookViewId="0">
      <pane xSplit="1" ySplit="3" topLeftCell="D4" activePane="bottomRight" state="frozen"/>
      <selection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ColWidth="8.85546875" defaultRowHeight="12.75" x14ac:dyDescent="0.2"/>
  <cols>
    <col min="1" max="1" width="47.42578125" style="18" customWidth="1"/>
    <col min="2" max="2" width="12.7109375" style="18" customWidth="1"/>
    <col min="3" max="3" width="8.85546875" style="18"/>
    <col min="4" max="4" width="15.7109375" style="18" customWidth="1"/>
    <col min="5" max="5" width="11.7109375" style="18" customWidth="1"/>
    <col min="6" max="7" width="12" style="18" customWidth="1"/>
    <col min="8" max="8" width="8.7109375" style="18" customWidth="1"/>
    <col min="9" max="9" width="10.5703125" style="18" customWidth="1"/>
    <col min="10" max="10" width="9" style="18" customWidth="1"/>
    <col min="11" max="11" width="11.140625" style="18" customWidth="1"/>
    <col min="12" max="12" width="11.7109375" style="18" customWidth="1"/>
    <col min="13" max="13" width="12.42578125" style="18" customWidth="1"/>
    <col min="14" max="14" width="10.42578125" style="18" customWidth="1"/>
    <col min="15" max="15" width="12.5703125" style="18" customWidth="1"/>
    <col min="16" max="16" width="9.7109375" style="18" customWidth="1"/>
    <col min="17" max="17" width="15.140625" style="18" customWidth="1"/>
    <col min="18" max="18" width="9.5703125" style="18" customWidth="1"/>
    <col min="19" max="20" width="14" style="18" customWidth="1"/>
    <col min="21" max="262" width="8.85546875" style="18"/>
    <col min="263" max="263" width="27.85546875" style="18" customWidth="1"/>
    <col min="264" max="264" width="8.85546875" style="18"/>
    <col min="265" max="265" width="15.7109375" style="18" customWidth="1"/>
    <col min="266" max="266" width="12" style="18" customWidth="1"/>
    <col min="267" max="267" width="14.7109375" style="18" customWidth="1"/>
    <col min="268" max="268" width="8.7109375" style="18" customWidth="1"/>
    <col min="269" max="269" width="10.5703125" style="18" customWidth="1"/>
    <col min="270" max="270" width="9" style="18" customWidth="1"/>
    <col min="271" max="271" width="11.140625" style="18" customWidth="1"/>
    <col min="272" max="272" width="13.85546875" style="18" customWidth="1"/>
    <col min="273" max="273" width="9.140625" style="18" customWidth="1"/>
    <col min="274" max="274" width="13.42578125" style="18" customWidth="1"/>
    <col min="275" max="275" width="12.28515625" style="18" customWidth="1"/>
    <col min="276" max="276" width="20" style="18" customWidth="1"/>
    <col min="277" max="518" width="8.85546875" style="18"/>
    <col min="519" max="519" width="27.85546875" style="18" customWidth="1"/>
    <col min="520" max="520" width="8.85546875" style="18"/>
    <col min="521" max="521" width="15.7109375" style="18" customWidth="1"/>
    <col min="522" max="522" width="12" style="18" customWidth="1"/>
    <col min="523" max="523" width="14.7109375" style="18" customWidth="1"/>
    <col min="524" max="524" width="8.7109375" style="18" customWidth="1"/>
    <col min="525" max="525" width="10.5703125" style="18" customWidth="1"/>
    <col min="526" max="526" width="9" style="18" customWidth="1"/>
    <col min="527" max="527" width="11.140625" style="18" customWidth="1"/>
    <col min="528" max="528" width="13.85546875" style="18" customWidth="1"/>
    <col min="529" max="529" width="9.140625" style="18" customWidth="1"/>
    <col min="530" max="530" width="13.42578125" style="18" customWidth="1"/>
    <col min="531" max="531" width="12.28515625" style="18" customWidth="1"/>
    <col min="532" max="532" width="20" style="18" customWidth="1"/>
    <col min="533" max="774" width="8.85546875" style="18"/>
    <col min="775" max="775" width="27.85546875" style="18" customWidth="1"/>
    <col min="776" max="776" width="8.85546875" style="18"/>
    <col min="777" max="777" width="15.7109375" style="18" customWidth="1"/>
    <col min="778" max="778" width="12" style="18" customWidth="1"/>
    <col min="779" max="779" width="14.7109375" style="18" customWidth="1"/>
    <col min="780" max="780" width="8.7109375" style="18" customWidth="1"/>
    <col min="781" max="781" width="10.5703125" style="18" customWidth="1"/>
    <col min="782" max="782" width="9" style="18" customWidth="1"/>
    <col min="783" max="783" width="11.140625" style="18" customWidth="1"/>
    <col min="784" max="784" width="13.85546875" style="18" customWidth="1"/>
    <col min="785" max="785" width="9.140625" style="18" customWidth="1"/>
    <col min="786" max="786" width="13.42578125" style="18" customWidth="1"/>
    <col min="787" max="787" width="12.28515625" style="18" customWidth="1"/>
    <col min="788" max="788" width="20" style="18" customWidth="1"/>
    <col min="789" max="1030" width="8.85546875" style="18"/>
    <col min="1031" max="1031" width="27.85546875" style="18" customWidth="1"/>
    <col min="1032" max="1032" width="8.85546875" style="18"/>
    <col min="1033" max="1033" width="15.7109375" style="18" customWidth="1"/>
    <col min="1034" max="1034" width="12" style="18" customWidth="1"/>
    <col min="1035" max="1035" width="14.7109375" style="18" customWidth="1"/>
    <col min="1036" max="1036" width="8.7109375" style="18" customWidth="1"/>
    <col min="1037" max="1037" width="10.5703125" style="18" customWidth="1"/>
    <col min="1038" max="1038" width="9" style="18" customWidth="1"/>
    <col min="1039" max="1039" width="11.140625" style="18" customWidth="1"/>
    <col min="1040" max="1040" width="13.85546875" style="18" customWidth="1"/>
    <col min="1041" max="1041" width="9.140625" style="18" customWidth="1"/>
    <col min="1042" max="1042" width="13.42578125" style="18" customWidth="1"/>
    <col min="1043" max="1043" width="12.28515625" style="18" customWidth="1"/>
    <col min="1044" max="1044" width="20" style="18" customWidth="1"/>
    <col min="1045" max="1286" width="8.85546875" style="18"/>
    <col min="1287" max="1287" width="27.85546875" style="18" customWidth="1"/>
    <col min="1288" max="1288" width="8.85546875" style="18"/>
    <col min="1289" max="1289" width="15.7109375" style="18" customWidth="1"/>
    <col min="1290" max="1290" width="12" style="18" customWidth="1"/>
    <col min="1291" max="1291" width="14.7109375" style="18" customWidth="1"/>
    <col min="1292" max="1292" width="8.7109375" style="18" customWidth="1"/>
    <col min="1293" max="1293" width="10.5703125" style="18" customWidth="1"/>
    <col min="1294" max="1294" width="9" style="18" customWidth="1"/>
    <col min="1295" max="1295" width="11.140625" style="18" customWidth="1"/>
    <col min="1296" max="1296" width="13.85546875" style="18" customWidth="1"/>
    <col min="1297" max="1297" width="9.140625" style="18" customWidth="1"/>
    <col min="1298" max="1298" width="13.42578125" style="18" customWidth="1"/>
    <col min="1299" max="1299" width="12.28515625" style="18" customWidth="1"/>
    <col min="1300" max="1300" width="20" style="18" customWidth="1"/>
    <col min="1301" max="1542" width="8.85546875" style="18"/>
    <col min="1543" max="1543" width="27.85546875" style="18" customWidth="1"/>
    <col min="1544" max="1544" width="8.85546875" style="18"/>
    <col min="1545" max="1545" width="15.7109375" style="18" customWidth="1"/>
    <col min="1546" max="1546" width="12" style="18" customWidth="1"/>
    <col min="1547" max="1547" width="14.7109375" style="18" customWidth="1"/>
    <col min="1548" max="1548" width="8.7109375" style="18" customWidth="1"/>
    <col min="1549" max="1549" width="10.5703125" style="18" customWidth="1"/>
    <col min="1550" max="1550" width="9" style="18" customWidth="1"/>
    <col min="1551" max="1551" width="11.140625" style="18" customWidth="1"/>
    <col min="1552" max="1552" width="13.85546875" style="18" customWidth="1"/>
    <col min="1553" max="1553" width="9.140625" style="18" customWidth="1"/>
    <col min="1554" max="1554" width="13.42578125" style="18" customWidth="1"/>
    <col min="1555" max="1555" width="12.28515625" style="18" customWidth="1"/>
    <col min="1556" max="1556" width="20" style="18" customWidth="1"/>
    <col min="1557" max="1798" width="8.85546875" style="18"/>
    <col min="1799" max="1799" width="27.85546875" style="18" customWidth="1"/>
    <col min="1800" max="1800" width="8.85546875" style="18"/>
    <col min="1801" max="1801" width="15.7109375" style="18" customWidth="1"/>
    <col min="1802" max="1802" width="12" style="18" customWidth="1"/>
    <col min="1803" max="1803" width="14.7109375" style="18" customWidth="1"/>
    <col min="1804" max="1804" width="8.7109375" style="18" customWidth="1"/>
    <col min="1805" max="1805" width="10.5703125" style="18" customWidth="1"/>
    <col min="1806" max="1806" width="9" style="18" customWidth="1"/>
    <col min="1807" max="1807" width="11.140625" style="18" customWidth="1"/>
    <col min="1808" max="1808" width="13.85546875" style="18" customWidth="1"/>
    <col min="1809" max="1809" width="9.140625" style="18" customWidth="1"/>
    <col min="1810" max="1810" width="13.42578125" style="18" customWidth="1"/>
    <col min="1811" max="1811" width="12.28515625" style="18" customWidth="1"/>
    <col min="1812" max="1812" width="20" style="18" customWidth="1"/>
    <col min="1813" max="2054" width="8.85546875" style="18"/>
    <col min="2055" max="2055" width="27.85546875" style="18" customWidth="1"/>
    <col min="2056" max="2056" width="8.85546875" style="18"/>
    <col min="2057" max="2057" width="15.7109375" style="18" customWidth="1"/>
    <col min="2058" max="2058" width="12" style="18" customWidth="1"/>
    <col min="2059" max="2059" width="14.7109375" style="18" customWidth="1"/>
    <col min="2060" max="2060" width="8.7109375" style="18" customWidth="1"/>
    <col min="2061" max="2061" width="10.5703125" style="18" customWidth="1"/>
    <col min="2062" max="2062" width="9" style="18" customWidth="1"/>
    <col min="2063" max="2063" width="11.140625" style="18" customWidth="1"/>
    <col min="2064" max="2064" width="13.85546875" style="18" customWidth="1"/>
    <col min="2065" max="2065" width="9.140625" style="18" customWidth="1"/>
    <col min="2066" max="2066" width="13.42578125" style="18" customWidth="1"/>
    <col min="2067" max="2067" width="12.28515625" style="18" customWidth="1"/>
    <col min="2068" max="2068" width="20" style="18" customWidth="1"/>
    <col min="2069" max="2310" width="8.85546875" style="18"/>
    <col min="2311" max="2311" width="27.85546875" style="18" customWidth="1"/>
    <col min="2312" max="2312" width="8.85546875" style="18"/>
    <col min="2313" max="2313" width="15.7109375" style="18" customWidth="1"/>
    <col min="2314" max="2314" width="12" style="18" customWidth="1"/>
    <col min="2315" max="2315" width="14.7109375" style="18" customWidth="1"/>
    <col min="2316" max="2316" width="8.7109375" style="18" customWidth="1"/>
    <col min="2317" max="2317" width="10.5703125" style="18" customWidth="1"/>
    <col min="2318" max="2318" width="9" style="18" customWidth="1"/>
    <col min="2319" max="2319" width="11.140625" style="18" customWidth="1"/>
    <col min="2320" max="2320" width="13.85546875" style="18" customWidth="1"/>
    <col min="2321" max="2321" width="9.140625" style="18" customWidth="1"/>
    <col min="2322" max="2322" width="13.42578125" style="18" customWidth="1"/>
    <col min="2323" max="2323" width="12.28515625" style="18" customWidth="1"/>
    <col min="2324" max="2324" width="20" style="18" customWidth="1"/>
    <col min="2325" max="2566" width="8.85546875" style="18"/>
    <col min="2567" max="2567" width="27.85546875" style="18" customWidth="1"/>
    <col min="2568" max="2568" width="8.85546875" style="18"/>
    <col min="2569" max="2569" width="15.7109375" style="18" customWidth="1"/>
    <col min="2570" max="2570" width="12" style="18" customWidth="1"/>
    <col min="2571" max="2571" width="14.7109375" style="18" customWidth="1"/>
    <col min="2572" max="2572" width="8.7109375" style="18" customWidth="1"/>
    <col min="2573" max="2573" width="10.5703125" style="18" customWidth="1"/>
    <col min="2574" max="2574" width="9" style="18" customWidth="1"/>
    <col min="2575" max="2575" width="11.140625" style="18" customWidth="1"/>
    <col min="2576" max="2576" width="13.85546875" style="18" customWidth="1"/>
    <col min="2577" max="2577" width="9.140625" style="18" customWidth="1"/>
    <col min="2578" max="2578" width="13.42578125" style="18" customWidth="1"/>
    <col min="2579" max="2579" width="12.28515625" style="18" customWidth="1"/>
    <col min="2580" max="2580" width="20" style="18" customWidth="1"/>
    <col min="2581" max="2822" width="8.85546875" style="18"/>
    <col min="2823" max="2823" width="27.85546875" style="18" customWidth="1"/>
    <col min="2824" max="2824" width="8.85546875" style="18"/>
    <col min="2825" max="2825" width="15.7109375" style="18" customWidth="1"/>
    <col min="2826" max="2826" width="12" style="18" customWidth="1"/>
    <col min="2827" max="2827" width="14.7109375" style="18" customWidth="1"/>
    <col min="2828" max="2828" width="8.7109375" style="18" customWidth="1"/>
    <col min="2829" max="2829" width="10.5703125" style="18" customWidth="1"/>
    <col min="2830" max="2830" width="9" style="18" customWidth="1"/>
    <col min="2831" max="2831" width="11.140625" style="18" customWidth="1"/>
    <col min="2832" max="2832" width="13.85546875" style="18" customWidth="1"/>
    <col min="2833" max="2833" width="9.140625" style="18" customWidth="1"/>
    <col min="2834" max="2834" width="13.42578125" style="18" customWidth="1"/>
    <col min="2835" max="2835" width="12.28515625" style="18" customWidth="1"/>
    <col min="2836" max="2836" width="20" style="18" customWidth="1"/>
    <col min="2837" max="3078" width="8.85546875" style="18"/>
    <col min="3079" max="3079" width="27.85546875" style="18" customWidth="1"/>
    <col min="3080" max="3080" width="8.85546875" style="18"/>
    <col min="3081" max="3081" width="15.7109375" style="18" customWidth="1"/>
    <col min="3082" max="3082" width="12" style="18" customWidth="1"/>
    <col min="3083" max="3083" width="14.7109375" style="18" customWidth="1"/>
    <col min="3084" max="3084" width="8.7109375" style="18" customWidth="1"/>
    <col min="3085" max="3085" width="10.5703125" style="18" customWidth="1"/>
    <col min="3086" max="3086" width="9" style="18" customWidth="1"/>
    <col min="3087" max="3087" width="11.140625" style="18" customWidth="1"/>
    <col min="3088" max="3088" width="13.85546875" style="18" customWidth="1"/>
    <col min="3089" max="3089" width="9.140625" style="18" customWidth="1"/>
    <col min="3090" max="3090" width="13.42578125" style="18" customWidth="1"/>
    <col min="3091" max="3091" width="12.28515625" style="18" customWidth="1"/>
    <col min="3092" max="3092" width="20" style="18" customWidth="1"/>
    <col min="3093" max="3334" width="8.85546875" style="18"/>
    <col min="3335" max="3335" width="27.85546875" style="18" customWidth="1"/>
    <col min="3336" max="3336" width="8.85546875" style="18"/>
    <col min="3337" max="3337" width="15.7109375" style="18" customWidth="1"/>
    <col min="3338" max="3338" width="12" style="18" customWidth="1"/>
    <col min="3339" max="3339" width="14.7109375" style="18" customWidth="1"/>
    <col min="3340" max="3340" width="8.7109375" style="18" customWidth="1"/>
    <col min="3341" max="3341" width="10.5703125" style="18" customWidth="1"/>
    <col min="3342" max="3342" width="9" style="18" customWidth="1"/>
    <col min="3343" max="3343" width="11.140625" style="18" customWidth="1"/>
    <col min="3344" max="3344" width="13.85546875" style="18" customWidth="1"/>
    <col min="3345" max="3345" width="9.140625" style="18" customWidth="1"/>
    <col min="3346" max="3346" width="13.42578125" style="18" customWidth="1"/>
    <col min="3347" max="3347" width="12.28515625" style="18" customWidth="1"/>
    <col min="3348" max="3348" width="20" style="18" customWidth="1"/>
    <col min="3349" max="3590" width="8.85546875" style="18"/>
    <col min="3591" max="3591" width="27.85546875" style="18" customWidth="1"/>
    <col min="3592" max="3592" width="8.85546875" style="18"/>
    <col min="3593" max="3593" width="15.7109375" style="18" customWidth="1"/>
    <col min="3594" max="3594" width="12" style="18" customWidth="1"/>
    <col min="3595" max="3595" width="14.7109375" style="18" customWidth="1"/>
    <col min="3596" max="3596" width="8.7109375" style="18" customWidth="1"/>
    <col min="3597" max="3597" width="10.5703125" style="18" customWidth="1"/>
    <col min="3598" max="3598" width="9" style="18" customWidth="1"/>
    <col min="3599" max="3599" width="11.140625" style="18" customWidth="1"/>
    <col min="3600" max="3600" width="13.85546875" style="18" customWidth="1"/>
    <col min="3601" max="3601" width="9.140625" style="18" customWidth="1"/>
    <col min="3602" max="3602" width="13.42578125" style="18" customWidth="1"/>
    <col min="3603" max="3603" width="12.28515625" style="18" customWidth="1"/>
    <col min="3604" max="3604" width="20" style="18" customWidth="1"/>
    <col min="3605" max="3846" width="8.85546875" style="18"/>
    <col min="3847" max="3847" width="27.85546875" style="18" customWidth="1"/>
    <col min="3848" max="3848" width="8.85546875" style="18"/>
    <col min="3849" max="3849" width="15.7109375" style="18" customWidth="1"/>
    <col min="3850" max="3850" width="12" style="18" customWidth="1"/>
    <col min="3851" max="3851" width="14.7109375" style="18" customWidth="1"/>
    <col min="3852" max="3852" width="8.7109375" style="18" customWidth="1"/>
    <col min="3853" max="3853" width="10.5703125" style="18" customWidth="1"/>
    <col min="3854" max="3854" width="9" style="18" customWidth="1"/>
    <col min="3855" max="3855" width="11.140625" style="18" customWidth="1"/>
    <col min="3856" max="3856" width="13.85546875" style="18" customWidth="1"/>
    <col min="3857" max="3857" width="9.140625" style="18" customWidth="1"/>
    <col min="3858" max="3858" width="13.42578125" style="18" customWidth="1"/>
    <col min="3859" max="3859" width="12.28515625" style="18" customWidth="1"/>
    <col min="3860" max="3860" width="20" style="18" customWidth="1"/>
    <col min="3861" max="4102" width="8.85546875" style="18"/>
    <col min="4103" max="4103" width="27.85546875" style="18" customWidth="1"/>
    <col min="4104" max="4104" width="8.85546875" style="18"/>
    <col min="4105" max="4105" width="15.7109375" style="18" customWidth="1"/>
    <col min="4106" max="4106" width="12" style="18" customWidth="1"/>
    <col min="4107" max="4107" width="14.7109375" style="18" customWidth="1"/>
    <col min="4108" max="4108" width="8.7109375" style="18" customWidth="1"/>
    <col min="4109" max="4109" width="10.5703125" style="18" customWidth="1"/>
    <col min="4110" max="4110" width="9" style="18" customWidth="1"/>
    <col min="4111" max="4111" width="11.140625" style="18" customWidth="1"/>
    <col min="4112" max="4112" width="13.85546875" style="18" customWidth="1"/>
    <col min="4113" max="4113" width="9.140625" style="18" customWidth="1"/>
    <col min="4114" max="4114" width="13.42578125" style="18" customWidth="1"/>
    <col min="4115" max="4115" width="12.28515625" style="18" customWidth="1"/>
    <col min="4116" max="4116" width="20" style="18" customWidth="1"/>
    <col min="4117" max="4358" width="8.85546875" style="18"/>
    <col min="4359" max="4359" width="27.85546875" style="18" customWidth="1"/>
    <col min="4360" max="4360" width="8.85546875" style="18"/>
    <col min="4361" max="4361" width="15.7109375" style="18" customWidth="1"/>
    <col min="4362" max="4362" width="12" style="18" customWidth="1"/>
    <col min="4363" max="4363" width="14.7109375" style="18" customWidth="1"/>
    <col min="4364" max="4364" width="8.7109375" style="18" customWidth="1"/>
    <col min="4365" max="4365" width="10.5703125" style="18" customWidth="1"/>
    <col min="4366" max="4366" width="9" style="18" customWidth="1"/>
    <col min="4367" max="4367" width="11.140625" style="18" customWidth="1"/>
    <col min="4368" max="4368" width="13.85546875" style="18" customWidth="1"/>
    <col min="4369" max="4369" width="9.140625" style="18" customWidth="1"/>
    <col min="4370" max="4370" width="13.42578125" style="18" customWidth="1"/>
    <col min="4371" max="4371" width="12.28515625" style="18" customWidth="1"/>
    <col min="4372" max="4372" width="20" style="18" customWidth="1"/>
    <col min="4373" max="4614" width="8.85546875" style="18"/>
    <col min="4615" max="4615" width="27.85546875" style="18" customWidth="1"/>
    <col min="4616" max="4616" width="8.85546875" style="18"/>
    <col min="4617" max="4617" width="15.7109375" style="18" customWidth="1"/>
    <col min="4618" max="4618" width="12" style="18" customWidth="1"/>
    <col min="4619" max="4619" width="14.7109375" style="18" customWidth="1"/>
    <col min="4620" max="4620" width="8.7109375" style="18" customWidth="1"/>
    <col min="4621" max="4621" width="10.5703125" style="18" customWidth="1"/>
    <col min="4622" max="4622" width="9" style="18" customWidth="1"/>
    <col min="4623" max="4623" width="11.140625" style="18" customWidth="1"/>
    <col min="4624" max="4624" width="13.85546875" style="18" customWidth="1"/>
    <col min="4625" max="4625" width="9.140625" style="18" customWidth="1"/>
    <col min="4626" max="4626" width="13.42578125" style="18" customWidth="1"/>
    <col min="4627" max="4627" width="12.28515625" style="18" customWidth="1"/>
    <col min="4628" max="4628" width="20" style="18" customWidth="1"/>
    <col min="4629" max="4870" width="8.85546875" style="18"/>
    <col min="4871" max="4871" width="27.85546875" style="18" customWidth="1"/>
    <col min="4872" max="4872" width="8.85546875" style="18"/>
    <col min="4873" max="4873" width="15.7109375" style="18" customWidth="1"/>
    <col min="4874" max="4874" width="12" style="18" customWidth="1"/>
    <col min="4875" max="4875" width="14.7109375" style="18" customWidth="1"/>
    <col min="4876" max="4876" width="8.7109375" style="18" customWidth="1"/>
    <col min="4877" max="4877" width="10.5703125" style="18" customWidth="1"/>
    <col min="4878" max="4878" width="9" style="18" customWidth="1"/>
    <col min="4879" max="4879" width="11.140625" style="18" customWidth="1"/>
    <col min="4880" max="4880" width="13.85546875" style="18" customWidth="1"/>
    <col min="4881" max="4881" width="9.140625" style="18" customWidth="1"/>
    <col min="4882" max="4882" width="13.42578125" style="18" customWidth="1"/>
    <col min="4883" max="4883" width="12.28515625" style="18" customWidth="1"/>
    <col min="4884" max="4884" width="20" style="18" customWidth="1"/>
    <col min="4885" max="5126" width="8.85546875" style="18"/>
    <col min="5127" max="5127" width="27.85546875" style="18" customWidth="1"/>
    <col min="5128" max="5128" width="8.85546875" style="18"/>
    <col min="5129" max="5129" width="15.7109375" style="18" customWidth="1"/>
    <col min="5130" max="5130" width="12" style="18" customWidth="1"/>
    <col min="5131" max="5131" width="14.7109375" style="18" customWidth="1"/>
    <col min="5132" max="5132" width="8.7109375" style="18" customWidth="1"/>
    <col min="5133" max="5133" width="10.5703125" style="18" customWidth="1"/>
    <col min="5134" max="5134" width="9" style="18" customWidth="1"/>
    <col min="5135" max="5135" width="11.140625" style="18" customWidth="1"/>
    <col min="5136" max="5136" width="13.85546875" style="18" customWidth="1"/>
    <col min="5137" max="5137" width="9.140625" style="18" customWidth="1"/>
    <col min="5138" max="5138" width="13.42578125" style="18" customWidth="1"/>
    <col min="5139" max="5139" width="12.28515625" style="18" customWidth="1"/>
    <col min="5140" max="5140" width="20" style="18" customWidth="1"/>
    <col min="5141" max="5382" width="8.85546875" style="18"/>
    <col min="5383" max="5383" width="27.85546875" style="18" customWidth="1"/>
    <col min="5384" max="5384" width="8.85546875" style="18"/>
    <col min="5385" max="5385" width="15.7109375" style="18" customWidth="1"/>
    <col min="5386" max="5386" width="12" style="18" customWidth="1"/>
    <col min="5387" max="5387" width="14.7109375" style="18" customWidth="1"/>
    <col min="5388" max="5388" width="8.7109375" style="18" customWidth="1"/>
    <col min="5389" max="5389" width="10.5703125" style="18" customWidth="1"/>
    <col min="5390" max="5390" width="9" style="18" customWidth="1"/>
    <col min="5391" max="5391" width="11.140625" style="18" customWidth="1"/>
    <col min="5392" max="5392" width="13.85546875" style="18" customWidth="1"/>
    <col min="5393" max="5393" width="9.140625" style="18" customWidth="1"/>
    <col min="5394" max="5394" width="13.42578125" style="18" customWidth="1"/>
    <col min="5395" max="5395" width="12.28515625" style="18" customWidth="1"/>
    <col min="5396" max="5396" width="20" style="18" customWidth="1"/>
    <col min="5397" max="5638" width="8.85546875" style="18"/>
    <col min="5639" max="5639" width="27.85546875" style="18" customWidth="1"/>
    <col min="5640" max="5640" width="8.85546875" style="18"/>
    <col min="5641" max="5641" width="15.7109375" style="18" customWidth="1"/>
    <col min="5642" max="5642" width="12" style="18" customWidth="1"/>
    <col min="5643" max="5643" width="14.7109375" style="18" customWidth="1"/>
    <col min="5644" max="5644" width="8.7109375" style="18" customWidth="1"/>
    <col min="5645" max="5645" width="10.5703125" style="18" customWidth="1"/>
    <col min="5646" max="5646" width="9" style="18" customWidth="1"/>
    <col min="5647" max="5647" width="11.140625" style="18" customWidth="1"/>
    <col min="5648" max="5648" width="13.85546875" style="18" customWidth="1"/>
    <col min="5649" max="5649" width="9.140625" style="18" customWidth="1"/>
    <col min="5650" max="5650" width="13.42578125" style="18" customWidth="1"/>
    <col min="5651" max="5651" width="12.28515625" style="18" customWidth="1"/>
    <col min="5652" max="5652" width="20" style="18" customWidth="1"/>
    <col min="5653" max="5894" width="8.85546875" style="18"/>
    <col min="5895" max="5895" width="27.85546875" style="18" customWidth="1"/>
    <col min="5896" max="5896" width="8.85546875" style="18"/>
    <col min="5897" max="5897" width="15.7109375" style="18" customWidth="1"/>
    <col min="5898" max="5898" width="12" style="18" customWidth="1"/>
    <col min="5899" max="5899" width="14.7109375" style="18" customWidth="1"/>
    <col min="5900" max="5900" width="8.7109375" style="18" customWidth="1"/>
    <col min="5901" max="5901" width="10.5703125" style="18" customWidth="1"/>
    <col min="5902" max="5902" width="9" style="18" customWidth="1"/>
    <col min="5903" max="5903" width="11.140625" style="18" customWidth="1"/>
    <col min="5904" max="5904" width="13.85546875" style="18" customWidth="1"/>
    <col min="5905" max="5905" width="9.140625" style="18" customWidth="1"/>
    <col min="5906" max="5906" width="13.42578125" style="18" customWidth="1"/>
    <col min="5907" max="5907" width="12.28515625" style="18" customWidth="1"/>
    <col min="5908" max="5908" width="20" style="18" customWidth="1"/>
    <col min="5909" max="6150" width="8.85546875" style="18"/>
    <col min="6151" max="6151" width="27.85546875" style="18" customWidth="1"/>
    <col min="6152" max="6152" width="8.85546875" style="18"/>
    <col min="6153" max="6153" width="15.7109375" style="18" customWidth="1"/>
    <col min="6154" max="6154" width="12" style="18" customWidth="1"/>
    <col min="6155" max="6155" width="14.7109375" style="18" customWidth="1"/>
    <col min="6156" max="6156" width="8.7109375" style="18" customWidth="1"/>
    <col min="6157" max="6157" width="10.5703125" style="18" customWidth="1"/>
    <col min="6158" max="6158" width="9" style="18" customWidth="1"/>
    <col min="6159" max="6159" width="11.140625" style="18" customWidth="1"/>
    <col min="6160" max="6160" width="13.85546875" style="18" customWidth="1"/>
    <col min="6161" max="6161" width="9.140625" style="18" customWidth="1"/>
    <col min="6162" max="6162" width="13.42578125" style="18" customWidth="1"/>
    <col min="6163" max="6163" width="12.28515625" style="18" customWidth="1"/>
    <col min="6164" max="6164" width="20" style="18" customWidth="1"/>
    <col min="6165" max="6406" width="8.85546875" style="18"/>
    <col min="6407" max="6407" width="27.85546875" style="18" customWidth="1"/>
    <col min="6408" max="6408" width="8.85546875" style="18"/>
    <col min="6409" max="6409" width="15.7109375" style="18" customWidth="1"/>
    <col min="6410" max="6410" width="12" style="18" customWidth="1"/>
    <col min="6411" max="6411" width="14.7109375" style="18" customWidth="1"/>
    <col min="6412" max="6412" width="8.7109375" style="18" customWidth="1"/>
    <col min="6413" max="6413" width="10.5703125" style="18" customWidth="1"/>
    <col min="6414" max="6414" width="9" style="18" customWidth="1"/>
    <col min="6415" max="6415" width="11.140625" style="18" customWidth="1"/>
    <col min="6416" max="6416" width="13.85546875" style="18" customWidth="1"/>
    <col min="6417" max="6417" width="9.140625" style="18" customWidth="1"/>
    <col min="6418" max="6418" width="13.42578125" style="18" customWidth="1"/>
    <col min="6419" max="6419" width="12.28515625" style="18" customWidth="1"/>
    <col min="6420" max="6420" width="20" style="18" customWidth="1"/>
    <col min="6421" max="6662" width="8.85546875" style="18"/>
    <col min="6663" max="6663" width="27.85546875" style="18" customWidth="1"/>
    <col min="6664" max="6664" width="8.85546875" style="18"/>
    <col min="6665" max="6665" width="15.7109375" style="18" customWidth="1"/>
    <col min="6666" max="6666" width="12" style="18" customWidth="1"/>
    <col min="6667" max="6667" width="14.7109375" style="18" customWidth="1"/>
    <col min="6668" max="6668" width="8.7109375" style="18" customWidth="1"/>
    <col min="6669" max="6669" width="10.5703125" style="18" customWidth="1"/>
    <col min="6670" max="6670" width="9" style="18" customWidth="1"/>
    <col min="6671" max="6671" width="11.140625" style="18" customWidth="1"/>
    <col min="6672" max="6672" width="13.85546875" style="18" customWidth="1"/>
    <col min="6673" max="6673" width="9.140625" style="18" customWidth="1"/>
    <col min="6674" max="6674" width="13.42578125" style="18" customWidth="1"/>
    <col min="6675" max="6675" width="12.28515625" style="18" customWidth="1"/>
    <col min="6676" max="6676" width="20" style="18" customWidth="1"/>
    <col min="6677" max="6918" width="8.85546875" style="18"/>
    <col min="6919" max="6919" width="27.85546875" style="18" customWidth="1"/>
    <col min="6920" max="6920" width="8.85546875" style="18"/>
    <col min="6921" max="6921" width="15.7109375" style="18" customWidth="1"/>
    <col min="6922" max="6922" width="12" style="18" customWidth="1"/>
    <col min="6923" max="6923" width="14.7109375" style="18" customWidth="1"/>
    <col min="6924" max="6924" width="8.7109375" style="18" customWidth="1"/>
    <col min="6925" max="6925" width="10.5703125" style="18" customWidth="1"/>
    <col min="6926" max="6926" width="9" style="18" customWidth="1"/>
    <col min="6927" max="6927" width="11.140625" style="18" customWidth="1"/>
    <col min="6928" max="6928" width="13.85546875" style="18" customWidth="1"/>
    <col min="6929" max="6929" width="9.140625" style="18" customWidth="1"/>
    <col min="6930" max="6930" width="13.42578125" style="18" customWidth="1"/>
    <col min="6931" max="6931" width="12.28515625" style="18" customWidth="1"/>
    <col min="6932" max="6932" width="20" style="18" customWidth="1"/>
    <col min="6933" max="7174" width="8.85546875" style="18"/>
    <col min="7175" max="7175" width="27.85546875" style="18" customWidth="1"/>
    <col min="7176" max="7176" width="8.85546875" style="18"/>
    <col min="7177" max="7177" width="15.7109375" style="18" customWidth="1"/>
    <col min="7178" max="7178" width="12" style="18" customWidth="1"/>
    <col min="7179" max="7179" width="14.7109375" style="18" customWidth="1"/>
    <col min="7180" max="7180" width="8.7109375" style="18" customWidth="1"/>
    <col min="7181" max="7181" width="10.5703125" style="18" customWidth="1"/>
    <col min="7182" max="7182" width="9" style="18" customWidth="1"/>
    <col min="7183" max="7183" width="11.140625" style="18" customWidth="1"/>
    <col min="7184" max="7184" width="13.85546875" style="18" customWidth="1"/>
    <col min="7185" max="7185" width="9.140625" style="18" customWidth="1"/>
    <col min="7186" max="7186" width="13.42578125" style="18" customWidth="1"/>
    <col min="7187" max="7187" width="12.28515625" style="18" customWidth="1"/>
    <col min="7188" max="7188" width="20" style="18" customWidth="1"/>
    <col min="7189" max="7430" width="8.85546875" style="18"/>
    <col min="7431" max="7431" width="27.85546875" style="18" customWidth="1"/>
    <col min="7432" max="7432" width="8.85546875" style="18"/>
    <col min="7433" max="7433" width="15.7109375" style="18" customWidth="1"/>
    <col min="7434" max="7434" width="12" style="18" customWidth="1"/>
    <col min="7435" max="7435" width="14.7109375" style="18" customWidth="1"/>
    <col min="7436" max="7436" width="8.7109375" style="18" customWidth="1"/>
    <col min="7437" max="7437" width="10.5703125" style="18" customWidth="1"/>
    <col min="7438" max="7438" width="9" style="18" customWidth="1"/>
    <col min="7439" max="7439" width="11.140625" style="18" customWidth="1"/>
    <col min="7440" max="7440" width="13.85546875" style="18" customWidth="1"/>
    <col min="7441" max="7441" width="9.140625" style="18" customWidth="1"/>
    <col min="7442" max="7442" width="13.42578125" style="18" customWidth="1"/>
    <col min="7443" max="7443" width="12.28515625" style="18" customWidth="1"/>
    <col min="7444" max="7444" width="20" style="18" customWidth="1"/>
    <col min="7445" max="7686" width="8.85546875" style="18"/>
    <col min="7687" max="7687" width="27.85546875" style="18" customWidth="1"/>
    <col min="7688" max="7688" width="8.85546875" style="18"/>
    <col min="7689" max="7689" width="15.7109375" style="18" customWidth="1"/>
    <col min="7690" max="7690" width="12" style="18" customWidth="1"/>
    <col min="7691" max="7691" width="14.7109375" style="18" customWidth="1"/>
    <col min="7692" max="7692" width="8.7109375" style="18" customWidth="1"/>
    <col min="7693" max="7693" width="10.5703125" style="18" customWidth="1"/>
    <col min="7694" max="7694" width="9" style="18" customWidth="1"/>
    <col min="7695" max="7695" width="11.140625" style="18" customWidth="1"/>
    <col min="7696" max="7696" width="13.85546875" style="18" customWidth="1"/>
    <col min="7697" max="7697" width="9.140625" style="18" customWidth="1"/>
    <col min="7698" max="7698" width="13.42578125" style="18" customWidth="1"/>
    <col min="7699" max="7699" width="12.28515625" style="18" customWidth="1"/>
    <col min="7700" max="7700" width="20" style="18" customWidth="1"/>
    <col min="7701" max="7942" width="8.85546875" style="18"/>
    <col min="7943" max="7943" width="27.85546875" style="18" customWidth="1"/>
    <col min="7944" max="7944" width="8.85546875" style="18"/>
    <col min="7945" max="7945" width="15.7109375" style="18" customWidth="1"/>
    <col min="7946" max="7946" width="12" style="18" customWidth="1"/>
    <col min="7947" max="7947" width="14.7109375" style="18" customWidth="1"/>
    <col min="7948" max="7948" width="8.7109375" style="18" customWidth="1"/>
    <col min="7949" max="7949" width="10.5703125" style="18" customWidth="1"/>
    <col min="7950" max="7950" width="9" style="18" customWidth="1"/>
    <col min="7951" max="7951" width="11.140625" style="18" customWidth="1"/>
    <col min="7952" max="7952" width="13.85546875" style="18" customWidth="1"/>
    <col min="7953" max="7953" width="9.140625" style="18" customWidth="1"/>
    <col min="7954" max="7954" width="13.42578125" style="18" customWidth="1"/>
    <col min="7955" max="7955" width="12.28515625" style="18" customWidth="1"/>
    <col min="7956" max="7956" width="20" style="18" customWidth="1"/>
    <col min="7957" max="8198" width="8.85546875" style="18"/>
    <col min="8199" max="8199" width="27.85546875" style="18" customWidth="1"/>
    <col min="8200" max="8200" width="8.85546875" style="18"/>
    <col min="8201" max="8201" width="15.7109375" style="18" customWidth="1"/>
    <col min="8202" max="8202" width="12" style="18" customWidth="1"/>
    <col min="8203" max="8203" width="14.7109375" style="18" customWidth="1"/>
    <col min="8204" max="8204" width="8.7109375" style="18" customWidth="1"/>
    <col min="8205" max="8205" width="10.5703125" style="18" customWidth="1"/>
    <col min="8206" max="8206" width="9" style="18" customWidth="1"/>
    <col min="8207" max="8207" width="11.140625" style="18" customWidth="1"/>
    <col min="8208" max="8208" width="13.85546875" style="18" customWidth="1"/>
    <col min="8209" max="8209" width="9.140625" style="18" customWidth="1"/>
    <col min="8210" max="8210" width="13.42578125" style="18" customWidth="1"/>
    <col min="8211" max="8211" width="12.28515625" style="18" customWidth="1"/>
    <col min="8212" max="8212" width="20" style="18" customWidth="1"/>
    <col min="8213" max="8454" width="8.85546875" style="18"/>
    <col min="8455" max="8455" width="27.85546875" style="18" customWidth="1"/>
    <col min="8456" max="8456" width="8.85546875" style="18"/>
    <col min="8457" max="8457" width="15.7109375" style="18" customWidth="1"/>
    <col min="8458" max="8458" width="12" style="18" customWidth="1"/>
    <col min="8459" max="8459" width="14.7109375" style="18" customWidth="1"/>
    <col min="8460" max="8460" width="8.7109375" style="18" customWidth="1"/>
    <col min="8461" max="8461" width="10.5703125" style="18" customWidth="1"/>
    <col min="8462" max="8462" width="9" style="18" customWidth="1"/>
    <col min="8463" max="8463" width="11.140625" style="18" customWidth="1"/>
    <col min="8464" max="8464" width="13.85546875" style="18" customWidth="1"/>
    <col min="8465" max="8465" width="9.140625" style="18" customWidth="1"/>
    <col min="8466" max="8466" width="13.42578125" style="18" customWidth="1"/>
    <col min="8467" max="8467" width="12.28515625" style="18" customWidth="1"/>
    <col min="8468" max="8468" width="20" style="18" customWidth="1"/>
    <col min="8469" max="8710" width="8.85546875" style="18"/>
    <col min="8711" max="8711" width="27.85546875" style="18" customWidth="1"/>
    <col min="8712" max="8712" width="8.85546875" style="18"/>
    <col min="8713" max="8713" width="15.7109375" style="18" customWidth="1"/>
    <col min="8714" max="8714" width="12" style="18" customWidth="1"/>
    <col min="8715" max="8715" width="14.7109375" style="18" customWidth="1"/>
    <col min="8716" max="8716" width="8.7109375" style="18" customWidth="1"/>
    <col min="8717" max="8717" width="10.5703125" style="18" customWidth="1"/>
    <col min="8718" max="8718" width="9" style="18" customWidth="1"/>
    <col min="8719" max="8719" width="11.140625" style="18" customWidth="1"/>
    <col min="8720" max="8720" width="13.85546875" style="18" customWidth="1"/>
    <col min="8721" max="8721" width="9.140625" style="18" customWidth="1"/>
    <col min="8722" max="8722" width="13.42578125" style="18" customWidth="1"/>
    <col min="8723" max="8723" width="12.28515625" style="18" customWidth="1"/>
    <col min="8724" max="8724" width="20" style="18" customWidth="1"/>
    <col min="8725" max="8966" width="8.85546875" style="18"/>
    <col min="8967" max="8967" width="27.85546875" style="18" customWidth="1"/>
    <col min="8968" max="8968" width="8.85546875" style="18"/>
    <col min="8969" max="8969" width="15.7109375" style="18" customWidth="1"/>
    <col min="8970" max="8970" width="12" style="18" customWidth="1"/>
    <col min="8971" max="8971" width="14.7109375" style="18" customWidth="1"/>
    <col min="8972" max="8972" width="8.7109375" style="18" customWidth="1"/>
    <col min="8973" max="8973" width="10.5703125" style="18" customWidth="1"/>
    <col min="8974" max="8974" width="9" style="18" customWidth="1"/>
    <col min="8975" max="8975" width="11.140625" style="18" customWidth="1"/>
    <col min="8976" max="8976" width="13.85546875" style="18" customWidth="1"/>
    <col min="8977" max="8977" width="9.140625" style="18" customWidth="1"/>
    <col min="8978" max="8978" width="13.42578125" style="18" customWidth="1"/>
    <col min="8979" max="8979" width="12.28515625" style="18" customWidth="1"/>
    <col min="8980" max="8980" width="20" style="18" customWidth="1"/>
    <col min="8981" max="9222" width="8.85546875" style="18"/>
    <col min="9223" max="9223" width="27.85546875" style="18" customWidth="1"/>
    <col min="9224" max="9224" width="8.85546875" style="18"/>
    <col min="9225" max="9225" width="15.7109375" style="18" customWidth="1"/>
    <col min="9226" max="9226" width="12" style="18" customWidth="1"/>
    <col min="9227" max="9227" width="14.7109375" style="18" customWidth="1"/>
    <col min="9228" max="9228" width="8.7109375" style="18" customWidth="1"/>
    <col min="9229" max="9229" width="10.5703125" style="18" customWidth="1"/>
    <col min="9230" max="9230" width="9" style="18" customWidth="1"/>
    <col min="9231" max="9231" width="11.140625" style="18" customWidth="1"/>
    <col min="9232" max="9232" width="13.85546875" style="18" customWidth="1"/>
    <col min="9233" max="9233" width="9.140625" style="18" customWidth="1"/>
    <col min="9234" max="9234" width="13.42578125" style="18" customWidth="1"/>
    <col min="9235" max="9235" width="12.28515625" style="18" customWidth="1"/>
    <col min="9236" max="9236" width="20" style="18" customWidth="1"/>
    <col min="9237" max="9478" width="8.85546875" style="18"/>
    <col min="9479" max="9479" width="27.85546875" style="18" customWidth="1"/>
    <col min="9480" max="9480" width="8.85546875" style="18"/>
    <col min="9481" max="9481" width="15.7109375" style="18" customWidth="1"/>
    <col min="9482" max="9482" width="12" style="18" customWidth="1"/>
    <col min="9483" max="9483" width="14.7109375" style="18" customWidth="1"/>
    <col min="9484" max="9484" width="8.7109375" style="18" customWidth="1"/>
    <col min="9485" max="9485" width="10.5703125" style="18" customWidth="1"/>
    <col min="9486" max="9486" width="9" style="18" customWidth="1"/>
    <col min="9487" max="9487" width="11.140625" style="18" customWidth="1"/>
    <col min="9488" max="9488" width="13.85546875" style="18" customWidth="1"/>
    <col min="9489" max="9489" width="9.140625" style="18" customWidth="1"/>
    <col min="9490" max="9490" width="13.42578125" style="18" customWidth="1"/>
    <col min="9491" max="9491" width="12.28515625" style="18" customWidth="1"/>
    <col min="9492" max="9492" width="20" style="18" customWidth="1"/>
    <col min="9493" max="9734" width="8.85546875" style="18"/>
    <col min="9735" max="9735" width="27.85546875" style="18" customWidth="1"/>
    <col min="9736" max="9736" width="8.85546875" style="18"/>
    <col min="9737" max="9737" width="15.7109375" style="18" customWidth="1"/>
    <col min="9738" max="9738" width="12" style="18" customWidth="1"/>
    <col min="9739" max="9739" width="14.7109375" style="18" customWidth="1"/>
    <col min="9740" max="9740" width="8.7109375" style="18" customWidth="1"/>
    <col min="9741" max="9741" width="10.5703125" style="18" customWidth="1"/>
    <col min="9742" max="9742" width="9" style="18" customWidth="1"/>
    <col min="9743" max="9743" width="11.140625" style="18" customWidth="1"/>
    <col min="9744" max="9744" width="13.85546875" style="18" customWidth="1"/>
    <col min="9745" max="9745" width="9.140625" style="18" customWidth="1"/>
    <col min="9746" max="9746" width="13.42578125" style="18" customWidth="1"/>
    <col min="9747" max="9747" width="12.28515625" style="18" customWidth="1"/>
    <col min="9748" max="9748" width="20" style="18" customWidth="1"/>
    <col min="9749" max="9990" width="8.85546875" style="18"/>
    <col min="9991" max="9991" width="27.85546875" style="18" customWidth="1"/>
    <col min="9992" max="9992" width="8.85546875" style="18"/>
    <col min="9993" max="9993" width="15.7109375" style="18" customWidth="1"/>
    <col min="9994" max="9994" width="12" style="18" customWidth="1"/>
    <col min="9995" max="9995" width="14.7109375" style="18" customWidth="1"/>
    <col min="9996" max="9996" width="8.7109375" style="18" customWidth="1"/>
    <col min="9997" max="9997" width="10.5703125" style="18" customWidth="1"/>
    <col min="9998" max="9998" width="9" style="18" customWidth="1"/>
    <col min="9999" max="9999" width="11.140625" style="18" customWidth="1"/>
    <col min="10000" max="10000" width="13.85546875" style="18" customWidth="1"/>
    <col min="10001" max="10001" width="9.140625" style="18" customWidth="1"/>
    <col min="10002" max="10002" width="13.42578125" style="18" customWidth="1"/>
    <col min="10003" max="10003" width="12.28515625" style="18" customWidth="1"/>
    <col min="10004" max="10004" width="20" style="18" customWidth="1"/>
    <col min="10005" max="10246" width="8.85546875" style="18"/>
    <col min="10247" max="10247" width="27.85546875" style="18" customWidth="1"/>
    <col min="10248" max="10248" width="8.85546875" style="18"/>
    <col min="10249" max="10249" width="15.7109375" style="18" customWidth="1"/>
    <col min="10250" max="10250" width="12" style="18" customWidth="1"/>
    <col min="10251" max="10251" width="14.7109375" style="18" customWidth="1"/>
    <col min="10252" max="10252" width="8.7109375" style="18" customWidth="1"/>
    <col min="10253" max="10253" width="10.5703125" style="18" customWidth="1"/>
    <col min="10254" max="10254" width="9" style="18" customWidth="1"/>
    <col min="10255" max="10255" width="11.140625" style="18" customWidth="1"/>
    <col min="10256" max="10256" width="13.85546875" style="18" customWidth="1"/>
    <col min="10257" max="10257" width="9.140625" style="18" customWidth="1"/>
    <col min="10258" max="10258" width="13.42578125" style="18" customWidth="1"/>
    <col min="10259" max="10259" width="12.28515625" style="18" customWidth="1"/>
    <col min="10260" max="10260" width="20" style="18" customWidth="1"/>
    <col min="10261" max="10502" width="8.85546875" style="18"/>
    <col min="10503" max="10503" width="27.85546875" style="18" customWidth="1"/>
    <col min="10504" max="10504" width="8.85546875" style="18"/>
    <col min="10505" max="10505" width="15.7109375" style="18" customWidth="1"/>
    <col min="10506" max="10506" width="12" style="18" customWidth="1"/>
    <col min="10507" max="10507" width="14.7109375" style="18" customWidth="1"/>
    <col min="10508" max="10508" width="8.7109375" style="18" customWidth="1"/>
    <col min="10509" max="10509" width="10.5703125" style="18" customWidth="1"/>
    <col min="10510" max="10510" width="9" style="18" customWidth="1"/>
    <col min="10511" max="10511" width="11.140625" style="18" customWidth="1"/>
    <col min="10512" max="10512" width="13.85546875" style="18" customWidth="1"/>
    <col min="10513" max="10513" width="9.140625" style="18" customWidth="1"/>
    <col min="10514" max="10514" width="13.42578125" style="18" customWidth="1"/>
    <col min="10515" max="10515" width="12.28515625" style="18" customWidth="1"/>
    <col min="10516" max="10516" width="20" style="18" customWidth="1"/>
    <col min="10517" max="10758" width="8.85546875" style="18"/>
    <col min="10759" max="10759" width="27.85546875" style="18" customWidth="1"/>
    <col min="10760" max="10760" width="8.85546875" style="18"/>
    <col min="10761" max="10761" width="15.7109375" style="18" customWidth="1"/>
    <col min="10762" max="10762" width="12" style="18" customWidth="1"/>
    <col min="10763" max="10763" width="14.7109375" style="18" customWidth="1"/>
    <col min="10764" max="10764" width="8.7109375" style="18" customWidth="1"/>
    <col min="10765" max="10765" width="10.5703125" style="18" customWidth="1"/>
    <col min="10766" max="10766" width="9" style="18" customWidth="1"/>
    <col min="10767" max="10767" width="11.140625" style="18" customWidth="1"/>
    <col min="10768" max="10768" width="13.85546875" style="18" customWidth="1"/>
    <col min="10769" max="10769" width="9.140625" style="18" customWidth="1"/>
    <col min="10770" max="10770" width="13.42578125" style="18" customWidth="1"/>
    <col min="10771" max="10771" width="12.28515625" style="18" customWidth="1"/>
    <col min="10772" max="10772" width="20" style="18" customWidth="1"/>
    <col min="10773" max="11014" width="8.85546875" style="18"/>
    <col min="11015" max="11015" width="27.85546875" style="18" customWidth="1"/>
    <col min="11016" max="11016" width="8.85546875" style="18"/>
    <col min="11017" max="11017" width="15.7109375" style="18" customWidth="1"/>
    <col min="11018" max="11018" width="12" style="18" customWidth="1"/>
    <col min="11019" max="11019" width="14.7109375" style="18" customWidth="1"/>
    <col min="11020" max="11020" width="8.7109375" style="18" customWidth="1"/>
    <col min="11021" max="11021" width="10.5703125" style="18" customWidth="1"/>
    <col min="11022" max="11022" width="9" style="18" customWidth="1"/>
    <col min="11023" max="11023" width="11.140625" style="18" customWidth="1"/>
    <col min="11024" max="11024" width="13.85546875" style="18" customWidth="1"/>
    <col min="11025" max="11025" width="9.140625" style="18" customWidth="1"/>
    <col min="11026" max="11026" width="13.42578125" style="18" customWidth="1"/>
    <col min="11027" max="11027" width="12.28515625" style="18" customWidth="1"/>
    <col min="11028" max="11028" width="20" style="18" customWidth="1"/>
    <col min="11029" max="11270" width="8.85546875" style="18"/>
    <col min="11271" max="11271" width="27.85546875" style="18" customWidth="1"/>
    <col min="11272" max="11272" width="8.85546875" style="18"/>
    <col min="11273" max="11273" width="15.7109375" style="18" customWidth="1"/>
    <col min="11274" max="11274" width="12" style="18" customWidth="1"/>
    <col min="11275" max="11275" width="14.7109375" style="18" customWidth="1"/>
    <col min="11276" max="11276" width="8.7109375" style="18" customWidth="1"/>
    <col min="11277" max="11277" width="10.5703125" style="18" customWidth="1"/>
    <col min="11278" max="11278" width="9" style="18" customWidth="1"/>
    <col min="11279" max="11279" width="11.140625" style="18" customWidth="1"/>
    <col min="11280" max="11280" width="13.85546875" style="18" customWidth="1"/>
    <col min="11281" max="11281" width="9.140625" style="18" customWidth="1"/>
    <col min="11282" max="11282" width="13.42578125" style="18" customWidth="1"/>
    <col min="11283" max="11283" width="12.28515625" style="18" customWidth="1"/>
    <col min="11284" max="11284" width="20" style="18" customWidth="1"/>
    <col min="11285" max="11526" width="8.85546875" style="18"/>
    <col min="11527" max="11527" width="27.85546875" style="18" customWidth="1"/>
    <col min="11528" max="11528" width="8.85546875" style="18"/>
    <col min="11529" max="11529" width="15.7109375" style="18" customWidth="1"/>
    <col min="11530" max="11530" width="12" style="18" customWidth="1"/>
    <col min="11531" max="11531" width="14.7109375" style="18" customWidth="1"/>
    <col min="11532" max="11532" width="8.7109375" style="18" customWidth="1"/>
    <col min="11533" max="11533" width="10.5703125" style="18" customWidth="1"/>
    <col min="11534" max="11534" width="9" style="18" customWidth="1"/>
    <col min="11535" max="11535" width="11.140625" style="18" customWidth="1"/>
    <col min="11536" max="11536" width="13.85546875" style="18" customWidth="1"/>
    <col min="11537" max="11537" width="9.140625" style="18" customWidth="1"/>
    <col min="11538" max="11538" width="13.42578125" style="18" customWidth="1"/>
    <col min="11539" max="11539" width="12.28515625" style="18" customWidth="1"/>
    <col min="11540" max="11540" width="20" style="18" customWidth="1"/>
    <col min="11541" max="11782" width="8.85546875" style="18"/>
    <col min="11783" max="11783" width="27.85546875" style="18" customWidth="1"/>
    <col min="11784" max="11784" width="8.85546875" style="18"/>
    <col min="11785" max="11785" width="15.7109375" style="18" customWidth="1"/>
    <col min="11786" max="11786" width="12" style="18" customWidth="1"/>
    <col min="11787" max="11787" width="14.7109375" style="18" customWidth="1"/>
    <col min="11788" max="11788" width="8.7109375" style="18" customWidth="1"/>
    <col min="11789" max="11789" width="10.5703125" style="18" customWidth="1"/>
    <col min="11790" max="11790" width="9" style="18" customWidth="1"/>
    <col min="11791" max="11791" width="11.140625" style="18" customWidth="1"/>
    <col min="11792" max="11792" width="13.85546875" style="18" customWidth="1"/>
    <col min="11793" max="11793" width="9.140625" style="18" customWidth="1"/>
    <col min="11794" max="11794" width="13.42578125" style="18" customWidth="1"/>
    <col min="11795" max="11795" width="12.28515625" style="18" customWidth="1"/>
    <col min="11796" max="11796" width="20" style="18" customWidth="1"/>
    <col min="11797" max="12038" width="8.85546875" style="18"/>
    <col min="12039" max="12039" width="27.85546875" style="18" customWidth="1"/>
    <col min="12040" max="12040" width="8.85546875" style="18"/>
    <col min="12041" max="12041" width="15.7109375" style="18" customWidth="1"/>
    <col min="12042" max="12042" width="12" style="18" customWidth="1"/>
    <col min="12043" max="12043" width="14.7109375" style="18" customWidth="1"/>
    <col min="12044" max="12044" width="8.7109375" style="18" customWidth="1"/>
    <col min="12045" max="12045" width="10.5703125" style="18" customWidth="1"/>
    <col min="12046" max="12046" width="9" style="18" customWidth="1"/>
    <col min="12047" max="12047" width="11.140625" style="18" customWidth="1"/>
    <col min="12048" max="12048" width="13.85546875" style="18" customWidth="1"/>
    <col min="12049" max="12049" width="9.140625" style="18" customWidth="1"/>
    <col min="12050" max="12050" width="13.42578125" style="18" customWidth="1"/>
    <col min="12051" max="12051" width="12.28515625" style="18" customWidth="1"/>
    <col min="12052" max="12052" width="20" style="18" customWidth="1"/>
    <col min="12053" max="12294" width="8.85546875" style="18"/>
    <col min="12295" max="12295" width="27.85546875" style="18" customWidth="1"/>
    <col min="12296" max="12296" width="8.85546875" style="18"/>
    <col min="12297" max="12297" width="15.7109375" style="18" customWidth="1"/>
    <col min="12298" max="12298" width="12" style="18" customWidth="1"/>
    <col min="12299" max="12299" width="14.7109375" style="18" customWidth="1"/>
    <col min="12300" max="12300" width="8.7109375" style="18" customWidth="1"/>
    <col min="12301" max="12301" width="10.5703125" style="18" customWidth="1"/>
    <col min="12302" max="12302" width="9" style="18" customWidth="1"/>
    <col min="12303" max="12303" width="11.140625" style="18" customWidth="1"/>
    <col min="12304" max="12304" width="13.85546875" style="18" customWidth="1"/>
    <col min="12305" max="12305" width="9.140625" style="18" customWidth="1"/>
    <col min="12306" max="12306" width="13.42578125" style="18" customWidth="1"/>
    <col min="12307" max="12307" width="12.28515625" style="18" customWidth="1"/>
    <col min="12308" max="12308" width="20" style="18" customWidth="1"/>
    <col min="12309" max="12550" width="8.85546875" style="18"/>
    <col min="12551" max="12551" width="27.85546875" style="18" customWidth="1"/>
    <col min="12552" max="12552" width="8.85546875" style="18"/>
    <col min="12553" max="12553" width="15.7109375" style="18" customWidth="1"/>
    <col min="12554" max="12554" width="12" style="18" customWidth="1"/>
    <col min="12555" max="12555" width="14.7109375" style="18" customWidth="1"/>
    <col min="12556" max="12556" width="8.7109375" style="18" customWidth="1"/>
    <col min="12557" max="12557" width="10.5703125" style="18" customWidth="1"/>
    <col min="12558" max="12558" width="9" style="18" customWidth="1"/>
    <col min="12559" max="12559" width="11.140625" style="18" customWidth="1"/>
    <col min="12560" max="12560" width="13.85546875" style="18" customWidth="1"/>
    <col min="12561" max="12561" width="9.140625" style="18" customWidth="1"/>
    <col min="12562" max="12562" width="13.42578125" style="18" customWidth="1"/>
    <col min="12563" max="12563" width="12.28515625" style="18" customWidth="1"/>
    <col min="12564" max="12564" width="20" style="18" customWidth="1"/>
    <col min="12565" max="12806" width="8.85546875" style="18"/>
    <col min="12807" max="12807" width="27.85546875" style="18" customWidth="1"/>
    <col min="12808" max="12808" width="8.85546875" style="18"/>
    <col min="12809" max="12809" width="15.7109375" style="18" customWidth="1"/>
    <col min="12810" max="12810" width="12" style="18" customWidth="1"/>
    <col min="12811" max="12811" width="14.7109375" style="18" customWidth="1"/>
    <col min="12812" max="12812" width="8.7109375" style="18" customWidth="1"/>
    <col min="12813" max="12813" width="10.5703125" style="18" customWidth="1"/>
    <col min="12814" max="12814" width="9" style="18" customWidth="1"/>
    <col min="12815" max="12815" width="11.140625" style="18" customWidth="1"/>
    <col min="12816" max="12816" width="13.85546875" style="18" customWidth="1"/>
    <col min="12817" max="12817" width="9.140625" style="18" customWidth="1"/>
    <col min="12818" max="12818" width="13.42578125" style="18" customWidth="1"/>
    <col min="12819" max="12819" width="12.28515625" style="18" customWidth="1"/>
    <col min="12820" max="12820" width="20" style="18" customWidth="1"/>
    <col min="12821" max="13062" width="8.85546875" style="18"/>
    <col min="13063" max="13063" width="27.85546875" style="18" customWidth="1"/>
    <col min="13064" max="13064" width="8.85546875" style="18"/>
    <col min="13065" max="13065" width="15.7109375" style="18" customWidth="1"/>
    <col min="13066" max="13066" width="12" style="18" customWidth="1"/>
    <col min="13067" max="13067" width="14.7109375" style="18" customWidth="1"/>
    <col min="13068" max="13068" width="8.7109375" style="18" customWidth="1"/>
    <col min="13069" max="13069" width="10.5703125" style="18" customWidth="1"/>
    <col min="13070" max="13070" width="9" style="18" customWidth="1"/>
    <col min="13071" max="13071" width="11.140625" style="18" customWidth="1"/>
    <col min="13072" max="13072" width="13.85546875" style="18" customWidth="1"/>
    <col min="13073" max="13073" width="9.140625" style="18" customWidth="1"/>
    <col min="13074" max="13074" width="13.42578125" style="18" customWidth="1"/>
    <col min="13075" max="13075" width="12.28515625" style="18" customWidth="1"/>
    <col min="13076" max="13076" width="20" style="18" customWidth="1"/>
    <col min="13077" max="13318" width="8.85546875" style="18"/>
    <col min="13319" max="13319" width="27.85546875" style="18" customWidth="1"/>
    <col min="13320" max="13320" width="8.85546875" style="18"/>
    <col min="13321" max="13321" width="15.7109375" style="18" customWidth="1"/>
    <col min="13322" max="13322" width="12" style="18" customWidth="1"/>
    <col min="13323" max="13323" width="14.7109375" style="18" customWidth="1"/>
    <col min="13324" max="13324" width="8.7109375" style="18" customWidth="1"/>
    <col min="13325" max="13325" width="10.5703125" style="18" customWidth="1"/>
    <col min="13326" max="13326" width="9" style="18" customWidth="1"/>
    <col min="13327" max="13327" width="11.140625" style="18" customWidth="1"/>
    <col min="13328" max="13328" width="13.85546875" style="18" customWidth="1"/>
    <col min="13329" max="13329" width="9.140625" style="18" customWidth="1"/>
    <col min="13330" max="13330" width="13.42578125" style="18" customWidth="1"/>
    <col min="13331" max="13331" width="12.28515625" style="18" customWidth="1"/>
    <col min="13332" max="13332" width="20" style="18" customWidth="1"/>
    <col min="13333" max="13574" width="8.85546875" style="18"/>
    <col min="13575" max="13575" width="27.85546875" style="18" customWidth="1"/>
    <col min="13576" max="13576" width="8.85546875" style="18"/>
    <col min="13577" max="13577" width="15.7109375" style="18" customWidth="1"/>
    <col min="13578" max="13578" width="12" style="18" customWidth="1"/>
    <col min="13579" max="13579" width="14.7109375" style="18" customWidth="1"/>
    <col min="13580" max="13580" width="8.7109375" style="18" customWidth="1"/>
    <col min="13581" max="13581" width="10.5703125" style="18" customWidth="1"/>
    <col min="13582" max="13582" width="9" style="18" customWidth="1"/>
    <col min="13583" max="13583" width="11.140625" style="18" customWidth="1"/>
    <col min="13584" max="13584" width="13.85546875" style="18" customWidth="1"/>
    <col min="13585" max="13585" width="9.140625" style="18" customWidth="1"/>
    <col min="13586" max="13586" width="13.42578125" style="18" customWidth="1"/>
    <col min="13587" max="13587" width="12.28515625" style="18" customWidth="1"/>
    <col min="13588" max="13588" width="20" style="18" customWidth="1"/>
    <col min="13589" max="13830" width="8.85546875" style="18"/>
    <col min="13831" max="13831" width="27.85546875" style="18" customWidth="1"/>
    <col min="13832" max="13832" width="8.85546875" style="18"/>
    <col min="13833" max="13833" width="15.7109375" style="18" customWidth="1"/>
    <col min="13834" max="13834" width="12" style="18" customWidth="1"/>
    <col min="13835" max="13835" width="14.7109375" style="18" customWidth="1"/>
    <col min="13836" max="13836" width="8.7109375" style="18" customWidth="1"/>
    <col min="13837" max="13837" width="10.5703125" style="18" customWidth="1"/>
    <col min="13838" max="13838" width="9" style="18" customWidth="1"/>
    <col min="13839" max="13839" width="11.140625" style="18" customWidth="1"/>
    <col min="13840" max="13840" width="13.85546875" style="18" customWidth="1"/>
    <col min="13841" max="13841" width="9.140625" style="18" customWidth="1"/>
    <col min="13842" max="13842" width="13.42578125" style="18" customWidth="1"/>
    <col min="13843" max="13843" width="12.28515625" style="18" customWidth="1"/>
    <col min="13844" max="13844" width="20" style="18" customWidth="1"/>
    <col min="13845" max="14086" width="8.85546875" style="18"/>
    <col min="14087" max="14087" width="27.85546875" style="18" customWidth="1"/>
    <col min="14088" max="14088" width="8.85546875" style="18"/>
    <col min="14089" max="14089" width="15.7109375" style="18" customWidth="1"/>
    <col min="14090" max="14090" width="12" style="18" customWidth="1"/>
    <col min="14091" max="14091" width="14.7109375" style="18" customWidth="1"/>
    <col min="14092" max="14092" width="8.7109375" style="18" customWidth="1"/>
    <col min="14093" max="14093" width="10.5703125" style="18" customWidth="1"/>
    <col min="14094" max="14094" width="9" style="18" customWidth="1"/>
    <col min="14095" max="14095" width="11.140625" style="18" customWidth="1"/>
    <col min="14096" max="14096" width="13.85546875" style="18" customWidth="1"/>
    <col min="14097" max="14097" width="9.140625" style="18" customWidth="1"/>
    <col min="14098" max="14098" width="13.42578125" style="18" customWidth="1"/>
    <col min="14099" max="14099" width="12.28515625" style="18" customWidth="1"/>
    <col min="14100" max="14100" width="20" style="18" customWidth="1"/>
    <col min="14101" max="14342" width="8.85546875" style="18"/>
    <col min="14343" max="14343" width="27.85546875" style="18" customWidth="1"/>
    <col min="14344" max="14344" width="8.85546875" style="18"/>
    <col min="14345" max="14345" width="15.7109375" style="18" customWidth="1"/>
    <col min="14346" max="14346" width="12" style="18" customWidth="1"/>
    <col min="14347" max="14347" width="14.7109375" style="18" customWidth="1"/>
    <col min="14348" max="14348" width="8.7109375" style="18" customWidth="1"/>
    <col min="14349" max="14349" width="10.5703125" style="18" customWidth="1"/>
    <col min="14350" max="14350" width="9" style="18" customWidth="1"/>
    <col min="14351" max="14351" width="11.140625" style="18" customWidth="1"/>
    <col min="14352" max="14352" width="13.85546875" style="18" customWidth="1"/>
    <col min="14353" max="14353" width="9.140625" style="18" customWidth="1"/>
    <col min="14354" max="14354" width="13.42578125" style="18" customWidth="1"/>
    <col min="14355" max="14355" width="12.28515625" style="18" customWidth="1"/>
    <col min="14356" max="14356" width="20" style="18" customWidth="1"/>
    <col min="14357" max="14598" width="8.85546875" style="18"/>
    <col min="14599" max="14599" width="27.85546875" style="18" customWidth="1"/>
    <col min="14600" max="14600" width="8.85546875" style="18"/>
    <col min="14601" max="14601" width="15.7109375" style="18" customWidth="1"/>
    <col min="14602" max="14602" width="12" style="18" customWidth="1"/>
    <col min="14603" max="14603" width="14.7109375" style="18" customWidth="1"/>
    <col min="14604" max="14604" width="8.7109375" style="18" customWidth="1"/>
    <col min="14605" max="14605" width="10.5703125" style="18" customWidth="1"/>
    <col min="14606" max="14606" width="9" style="18" customWidth="1"/>
    <col min="14607" max="14607" width="11.140625" style="18" customWidth="1"/>
    <col min="14608" max="14608" width="13.85546875" style="18" customWidth="1"/>
    <col min="14609" max="14609" width="9.140625" style="18" customWidth="1"/>
    <col min="14610" max="14610" width="13.42578125" style="18" customWidth="1"/>
    <col min="14611" max="14611" width="12.28515625" style="18" customWidth="1"/>
    <col min="14612" max="14612" width="20" style="18" customWidth="1"/>
    <col min="14613" max="14854" width="8.85546875" style="18"/>
    <col min="14855" max="14855" width="27.85546875" style="18" customWidth="1"/>
    <col min="14856" max="14856" width="8.85546875" style="18"/>
    <col min="14857" max="14857" width="15.7109375" style="18" customWidth="1"/>
    <col min="14858" max="14858" width="12" style="18" customWidth="1"/>
    <col min="14859" max="14859" width="14.7109375" style="18" customWidth="1"/>
    <col min="14860" max="14860" width="8.7109375" style="18" customWidth="1"/>
    <col min="14861" max="14861" width="10.5703125" style="18" customWidth="1"/>
    <col min="14862" max="14862" width="9" style="18" customWidth="1"/>
    <col min="14863" max="14863" width="11.140625" style="18" customWidth="1"/>
    <col min="14864" max="14864" width="13.85546875" style="18" customWidth="1"/>
    <col min="14865" max="14865" width="9.140625" style="18" customWidth="1"/>
    <col min="14866" max="14866" width="13.42578125" style="18" customWidth="1"/>
    <col min="14867" max="14867" width="12.28515625" style="18" customWidth="1"/>
    <col min="14868" max="14868" width="20" style="18" customWidth="1"/>
    <col min="14869" max="15110" width="8.85546875" style="18"/>
    <col min="15111" max="15111" width="27.85546875" style="18" customWidth="1"/>
    <col min="15112" max="15112" width="8.85546875" style="18"/>
    <col min="15113" max="15113" width="15.7109375" style="18" customWidth="1"/>
    <col min="15114" max="15114" width="12" style="18" customWidth="1"/>
    <col min="15115" max="15115" width="14.7109375" style="18" customWidth="1"/>
    <col min="15116" max="15116" width="8.7109375" style="18" customWidth="1"/>
    <col min="15117" max="15117" width="10.5703125" style="18" customWidth="1"/>
    <col min="15118" max="15118" width="9" style="18" customWidth="1"/>
    <col min="15119" max="15119" width="11.140625" style="18" customWidth="1"/>
    <col min="15120" max="15120" width="13.85546875" style="18" customWidth="1"/>
    <col min="15121" max="15121" width="9.140625" style="18" customWidth="1"/>
    <col min="15122" max="15122" width="13.42578125" style="18" customWidth="1"/>
    <col min="15123" max="15123" width="12.28515625" style="18" customWidth="1"/>
    <col min="15124" max="15124" width="20" style="18" customWidth="1"/>
    <col min="15125" max="15366" width="8.85546875" style="18"/>
    <col min="15367" max="15367" width="27.85546875" style="18" customWidth="1"/>
    <col min="15368" max="15368" width="8.85546875" style="18"/>
    <col min="15369" max="15369" width="15.7109375" style="18" customWidth="1"/>
    <col min="15370" max="15370" width="12" style="18" customWidth="1"/>
    <col min="15371" max="15371" width="14.7109375" style="18" customWidth="1"/>
    <col min="15372" max="15372" width="8.7109375" style="18" customWidth="1"/>
    <col min="15373" max="15373" width="10.5703125" style="18" customWidth="1"/>
    <col min="15374" max="15374" width="9" style="18" customWidth="1"/>
    <col min="15375" max="15375" width="11.140625" style="18" customWidth="1"/>
    <col min="15376" max="15376" width="13.85546875" style="18" customWidth="1"/>
    <col min="15377" max="15377" width="9.140625" style="18" customWidth="1"/>
    <col min="15378" max="15378" width="13.42578125" style="18" customWidth="1"/>
    <col min="15379" max="15379" width="12.28515625" style="18" customWidth="1"/>
    <col min="15380" max="15380" width="20" style="18" customWidth="1"/>
    <col min="15381" max="15622" width="8.85546875" style="18"/>
    <col min="15623" max="15623" width="27.85546875" style="18" customWidth="1"/>
    <col min="15624" max="15624" width="8.85546875" style="18"/>
    <col min="15625" max="15625" width="15.7109375" style="18" customWidth="1"/>
    <col min="15626" max="15626" width="12" style="18" customWidth="1"/>
    <col min="15627" max="15627" width="14.7109375" style="18" customWidth="1"/>
    <col min="15628" max="15628" width="8.7109375" style="18" customWidth="1"/>
    <col min="15629" max="15629" width="10.5703125" style="18" customWidth="1"/>
    <col min="15630" max="15630" width="9" style="18" customWidth="1"/>
    <col min="15631" max="15631" width="11.140625" style="18" customWidth="1"/>
    <col min="15632" max="15632" width="13.85546875" style="18" customWidth="1"/>
    <col min="15633" max="15633" width="9.140625" style="18" customWidth="1"/>
    <col min="15634" max="15634" width="13.42578125" style="18" customWidth="1"/>
    <col min="15635" max="15635" width="12.28515625" style="18" customWidth="1"/>
    <col min="15636" max="15636" width="20" style="18" customWidth="1"/>
    <col min="15637" max="15878" width="8.85546875" style="18"/>
    <col min="15879" max="15879" width="27.85546875" style="18" customWidth="1"/>
    <col min="15880" max="15880" width="8.85546875" style="18"/>
    <col min="15881" max="15881" width="15.7109375" style="18" customWidth="1"/>
    <col min="15882" max="15882" width="12" style="18" customWidth="1"/>
    <col min="15883" max="15883" width="14.7109375" style="18" customWidth="1"/>
    <col min="15884" max="15884" width="8.7109375" style="18" customWidth="1"/>
    <col min="15885" max="15885" width="10.5703125" style="18" customWidth="1"/>
    <col min="15886" max="15886" width="9" style="18" customWidth="1"/>
    <col min="15887" max="15887" width="11.140625" style="18" customWidth="1"/>
    <col min="15888" max="15888" width="13.85546875" style="18" customWidth="1"/>
    <col min="15889" max="15889" width="9.140625" style="18" customWidth="1"/>
    <col min="15890" max="15890" width="13.42578125" style="18" customWidth="1"/>
    <col min="15891" max="15891" width="12.28515625" style="18" customWidth="1"/>
    <col min="15892" max="15892" width="20" style="18" customWidth="1"/>
    <col min="15893" max="16134" width="8.85546875" style="18"/>
    <col min="16135" max="16135" width="27.85546875" style="18" customWidth="1"/>
    <col min="16136" max="16136" width="8.85546875" style="18"/>
    <col min="16137" max="16137" width="15.7109375" style="18" customWidth="1"/>
    <col min="16138" max="16138" width="12" style="18" customWidth="1"/>
    <col min="16139" max="16139" width="14.7109375" style="18" customWidth="1"/>
    <col min="16140" max="16140" width="8.7109375" style="18" customWidth="1"/>
    <col min="16141" max="16141" width="10.5703125" style="18" customWidth="1"/>
    <col min="16142" max="16142" width="9" style="18" customWidth="1"/>
    <col min="16143" max="16143" width="11.140625" style="18" customWidth="1"/>
    <col min="16144" max="16144" width="13.85546875" style="18" customWidth="1"/>
    <col min="16145" max="16145" width="9.140625" style="18" customWidth="1"/>
    <col min="16146" max="16146" width="13.42578125" style="18" customWidth="1"/>
    <col min="16147" max="16147" width="12.28515625" style="18" customWidth="1"/>
    <col min="16148" max="16148" width="20" style="18" customWidth="1"/>
    <col min="16149" max="16384" width="8.85546875" style="18"/>
  </cols>
  <sheetData>
    <row r="1" spans="1:22" x14ac:dyDescent="0.2">
      <c r="A1" s="1033" t="s">
        <v>409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1033"/>
      <c r="S1" s="1033"/>
      <c r="T1" s="1033"/>
    </row>
    <row r="2" spans="1:22" ht="40.5" customHeight="1" x14ac:dyDescent="0.2">
      <c r="A2" s="988" t="s">
        <v>132</v>
      </c>
      <c r="B2" s="989" t="str">
        <f>ТКО!B2</f>
        <v xml:space="preserve">Нормативная численность обучающихся </v>
      </c>
      <c r="C2" s="988" t="s">
        <v>26</v>
      </c>
      <c r="D2" s="1072" t="s">
        <v>168</v>
      </c>
      <c r="E2" s="1074" t="s">
        <v>322</v>
      </c>
      <c r="F2" s="988" t="s">
        <v>263</v>
      </c>
      <c r="G2" s="988" t="s">
        <v>264</v>
      </c>
      <c r="H2" s="1073" t="s">
        <v>27</v>
      </c>
      <c r="I2" s="1073"/>
      <c r="J2" s="1073" t="s">
        <v>28</v>
      </c>
      <c r="K2" s="1073"/>
      <c r="L2" s="989" t="s">
        <v>371</v>
      </c>
      <c r="M2" s="1065" t="s">
        <v>337</v>
      </c>
      <c r="N2" s="988" t="s">
        <v>29</v>
      </c>
      <c r="O2" s="988"/>
      <c r="P2" s="988"/>
      <c r="Q2" s="1063" t="s">
        <v>150</v>
      </c>
      <c r="R2" s="1064"/>
      <c r="S2" s="989" t="s">
        <v>1</v>
      </c>
      <c r="T2" s="989" t="s">
        <v>30</v>
      </c>
    </row>
    <row r="3" spans="1:22" ht="48.75" customHeight="1" x14ac:dyDescent="0.2">
      <c r="A3" s="988"/>
      <c r="B3" s="990"/>
      <c r="C3" s="988"/>
      <c r="D3" s="988"/>
      <c r="E3" s="1075"/>
      <c r="F3" s="988"/>
      <c r="G3" s="988"/>
      <c r="H3" s="408" t="s">
        <v>31</v>
      </c>
      <c r="I3" s="409" t="s">
        <v>32</v>
      </c>
      <c r="J3" s="409" t="s">
        <v>2</v>
      </c>
      <c r="K3" s="409" t="s">
        <v>32</v>
      </c>
      <c r="L3" s="990"/>
      <c r="M3" s="990"/>
      <c r="N3" s="409" t="s">
        <v>326</v>
      </c>
      <c r="O3" s="409" t="s">
        <v>322</v>
      </c>
      <c r="P3" s="409" t="s">
        <v>33</v>
      </c>
      <c r="Q3" s="501" t="s">
        <v>168</v>
      </c>
      <c r="R3" s="504" t="s">
        <v>33</v>
      </c>
      <c r="S3" s="990"/>
      <c r="T3" s="990"/>
    </row>
    <row r="4" spans="1:22" x14ac:dyDescent="0.2">
      <c r="A4" s="1066" t="str">
        <f>ТКО!A6</f>
        <v>МАДОУ ЦРР-детский сад № 2</v>
      </c>
      <c r="B4" s="1068">
        <f>ТКО!B6</f>
        <v>506</v>
      </c>
      <c r="C4" s="989" t="s">
        <v>34</v>
      </c>
      <c r="D4" s="686">
        <f>1185+1265</f>
        <v>2450</v>
      </c>
      <c r="E4" s="1076">
        <f>ROUND((D4+D5)/B4,3)</f>
        <v>7.2229999999999999</v>
      </c>
      <c r="F4" s="687">
        <v>12</v>
      </c>
      <c r="G4" s="687">
        <v>4</v>
      </c>
      <c r="H4" s="533">
        <v>0.37</v>
      </c>
      <c r="I4" s="533">
        <f>D4*F4*H4</f>
        <v>10878</v>
      </c>
      <c r="J4" s="533">
        <v>0.46</v>
      </c>
      <c r="K4" s="533">
        <f>D4*G4*J4</f>
        <v>4508</v>
      </c>
      <c r="L4" s="533"/>
      <c r="M4" s="533"/>
      <c r="N4" s="533"/>
      <c r="O4" s="1078">
        <f>ROUND((N4+N5)/B4,3)</f>
        <v>0</v>
      </c>
      <c r="P4" s="533"/>
      <c r="Q4" s="533"/>
      <c r="R4" s="533"/>
      <c r="S4" s="533">
        <f>I4+K4+L4+M4+P4-R4</f>
        <v>15386</v>
      </c>
      <c r="T4" s="1060">
        <f>S4+S5</f>
        <v>30953.4</v>
      </c>
      <c r="V4" s="18" t="s">
        <v>438</v>
      </c>
    </row>
    <row r="5" spans="1:22" x14ac:dyDescent="0.2">
      <c r="A5" s="1067"/>
      <c r="B5" s="1069"/>
      <c r="C5" s="990"/>
      <c r="D5" s="686">
        <f>777+428</f>
        <v>1205</v>
      </c>
      <c r="E5" s="1077"/>
      <c r="F5" s="687">
        <v>12</v>
      </c>
      <c r="G5" s="687">
        <v>4</v>
      </c>
      <c r="H5" s="533">
        <v>0.37</v>
      </c>
      <c r="I5" s="533">
        <f>D5*F5*H5</f>
        <v>5350.2</v>
      </c>
      <c r="J5" s="533">
        <v>0.46</v>
      </c>
      <c r="K5" s="533">
        <f>D5*G5*J5</f>
        <v>2217.2000000000003</v>
      </c>
      <c r="L5" s="533"/>
      <c r="M5" s="533">
        <v>8000</v>
      </c>
      <c r="N5" s="533"/>
      <c r="O5" s="1079"/>
      <c r="P5" s="533"/>
      <c r="Q5" s="533"/>
      <c r="R5" s="533"/>
      <c r="S5" s="533">
        <f t="shared" ref="S5:S10" si="0">I5+K5+L5+M5+P5-R5</f>
        <v>15567.4</v>
      </c>
      <c r="T5" s="1061"/>
      <c r="V5" s="18" t="s">
        <v>602</v>
      </c>
    </row>
    <row r="6" spans="1:22" x14ac:dyDescent="0.2">
      <c r="A6" s="1066" t="str">
        <f>ТКО!A7</f>
        <v>МАДОУ ЦРР-детский сад № 11</v>
      </c>
      <c r="B6" s="1068">
        <f>ТКО!B7</f>
        <v>559</v>
      </c>
      <c r="C6" s="989" t="s">
        <v>34</v>
      </c>
      <c r="D6" s="692">
        <v>2200</v>
      </c>
      <c r="E6" s="1076">
        <f>ROUND((D6+D7)/B6,3)</f>
        <v>10.375999999999999</v>
      </c>
      <c r="F6" s="693">
        <v>12</v>
      </c>
      <c r="G6" s="693"/>
      <c r="H6" s="533">
        <v>0.37</v>
      </c>
      <c r="I6" s="533">
        <f>D6*F6*H6</f>
        <v>9768</v>
      </c>
      <c r="J6" s="533">
        <v>0.72</v>
      </c>
      <c r="K6" s="533">
        <f>D6*G6*J6</f>
        <v>0</v>
      </c>
      <c r="L6" s="533"/>
      <c r="M6" s="533">
        <v>8000</v>
      </c>
      <c r="N6" s="533"/>
      <c r="O6" s="1078">
        <f>ROUND((N6+N7)/B6,3)</f>
        <v>0</v>
      </c>
      <c r="P6" s="533"/>
      <c r="Q6" s="533"/>
      <c r="R6" s="533"/>
      <c r="S6" s="533">
        <f t="shared" si="0"/>
        <v>17768</v>
      </c>
      <c r="T6" s="1060">
        <f>S6+S7</f>
        <v>33838.400000000001</v>
      </c>
      <c r="V6" s="18" t="s">
        <v>450</v>
      </c>
    </row>
    <row r="7" spans="1:22" x14ac:dyDescent="0.2">
      <c r="A7" s="1067"/>
      <c r="B7" s="1069"/>
      <c r="C7" s="990"/>
      <c r="D7" s="692">
        <v>3600</v>
      </c>
      <c r="E7" s="1077"/>
      <c r="F7" s="693">
        <v>12</v>
      </c>
      <c r="G7" s="693"/>
      <c r="H7" s="533">
        <f>0.31*1.2</f>
        <v>0.372</v>
      </c>
      <c r="I7" s="533">
        <f>D7*F7*H7</f>
        <v>16070.4</v>
      </c>
      <c r="J7" s="533">
        <v>0.72</v>
      </c>
      <c r="K7" s="533">
        <f>D7*G7*J7</f>
        <v>0</v>
      </c>
      <c r="L7" s="533"/>
      <c r="M7" s="533"/>
      <c r="N7" s="533"/>
      <c r="O7" s="1079"/>
      <c r="P7" s="533"/>
      <c r="Q7" s="533"/>
      <c r="R7" s="533"/>
      <c r="S7" s="533">
        <f t="shared" si="0"/>
        <v>16070.4</v>
      </c>
      <c r="T7" s="1061"/>
    </row>
    <row r="8" spans="1:22" x14ac:dyDescent="0.2">
      <c r="A8" s="1066" t="str">
        <f>ТКО!A8</f>
        <v>МАДОУ ЦРР-детский сад № 13</v>
      </c>
      <c r="B8" s="1068">
        <f>ТКО!B8</f>
        <v>633</v>
      </c>
      <c r="C8" s="713" t="s">
        <v>34</v>
      </c>
      <c r="D8" s="609">
        <v>1812.9</v>
      </c>
      <c r="E8" s="1076">
        <f>ROUND((D8+D9+D10)/B8,3)</f>
        <v>10.564</v>
      </c>
      <c r="F8" s="608">
        <v>12</v>
      </c>
      <c r="G8" s="608">
        <v>12</v>
      </c>
      <c r="H8" s="16">
        <v>0.372</v>
      </c>
      <c r="I8" s="533">
        <f t="shared" ref="I8:I17" si="1">D8*F8*H8</f>
        <v>8092.7856000000011</v>
      </c>
      <c r="J8" s="16">
        <v>0.312</v>
      </c>
      <c r="K8" s="533">
        <f t="shared" ref="K8:K17" si="2">D8*G8*J8</f>
        <v>6787.4976000000006</v>
      </c>
      <c r="L8" s="533"/>
      <c r="M8" s="533"/>
      <c r="N8" s="533">
        <v>1</v>
      </c>
      <c r="O8" s="1078">
        <f>ROUND((N8+N9+N10)/B8,3)</f>
        <v>2E-3</v>
      </c>
      <c r="P8" s="533">
        <v>297.52999999999997</v>
      </c>
      <c r="Q8" s="533"/>
      <c r="R8" s="533"/>
      <c r="S8" s="533">
        <f t="shared" si="0"/>
        <v>15177.813200000002</v>
      </c>
      <c r="T8" s="1060">
        <f>S8+S9+S10</f>
        <v>55183.605199999998</v>
      </c>
      <c r="V8" s="18" t="s">
        <v>459</v>
      </c>
    </row>
    <row r="9" spans="1:22" x14ac:dyDescent="0.2">
      <c r="A9" s="1070"/>
      <c r="B9" s="1071"/>
      <c r="C9" s="713" t="s">
        <v>34</v>
      </c>
      <c r="D9" s="609">
        <v>2156</v>
      </c>
      <c r="E9" s="1080"/>
      <c r="F9" s="608">
        <v>12</v>
      </c>
      <c r="G9" s="608">
        <v>12</v>
      </c>
      <c r="H9" s="16">
        <v>0.372</v>
      </c>
      <c r="I9" s="533">
        <f t="shared" si="1"/>
        <v>9624.384</v>
      </c>
      <c r="J9" s="16">
        <v>0.312</v>
      </c>
      <c r="K9" s="533">
        <f t="shared" si="2"/>
        <v>8072.0640000000003</v>
      </c>
      <c r="L9" s="533"/>
      <c r="M9" s="533"/>
      <c r="N9" s="533"/>
      <c r="O9" s="1081"/>
      <c r="P9" s="533"/>
      <c r="Q9" s="533"/>
      <c r="R9" s="533"/>
      <c r="S9" s="533">
        <f t="shared" si="0"/>
        <v>17696.448</v>
      </c>
      <c r="T9" s="1062"/>
    </row>
    <row r="10" spans="1:22" x14ac:dyDescent="0.2">
      <c r="A10" s="1067"/>
      <c r="B10" s="1069"/>
      <c r="C10" s="713" t="s">
        <v>34</v>
      </c>
      <c r="D10" s="609">
        <f>906+1812</f>
        <v>2718</v>
      </c>
      <c r="E10" s="1077"/>
      <c r="F10" s="608">
        <v>12</v>
      </c>
      <c r="G10" s="608">
        <v>12</v>
      </c>
      <c r="H10" s="16">
        <v>0.372</v>
      </c>
      <c r="I10" s="533">
        <f t="shared" si="1"/>
        <v>12133.152</v>
      </c>
      <c r="J10" s="16">
        <v>0.312</v>
      </c>
      <c r="K10" s="533">
        <f t="shared" si="2"/>
        <v>10176.191999999999</v>
      </c>
      <c r="L10" s="533"/>
      <c r="M10" s="533"/>
      <c r="N10" s="533"/>
      <c r="O10" s="1079"/>
      <c r="P10" s="533"/>
      <c r="Q10" s="533"/>
      <c r="R10" s="533"/>
      <c r="S10" s="533">
        <f t="shared" si="0"/>
        <v>22309.343999999997</v>
      </c>
      <c r="T10" s="1061"/>
    </row>
    <row r="11" spans="1:22" x14ac:dyDescent="0.2">
      <c r="A11" s="1066" t="str">
        <f>ТКО!A9</f>
        <v>МАОУ СОШ № 1 структурное подразделение</v>
      </c>
      <c r="B11" s="1068">
        <f>ТКО!B9</f>
        <v>381</v>
      </c>
      <c r="C11" s="989" t="s">
        <v>34</v>
      </c>
      <c r="D11" s="609">
        <v>2041.8</v>
      </c>
      <c r="E11" s="1076">
        <f>ROUND((D11+D12)/B11,3)</f>
        <v>7.6890000000000001</v>
      </c>
      <c r="F11" s="608">
        <v>12</v>
      </c>
      <c r="G11" s="608">
        <v>12</v>
      </c>
      <c r="H11" s="16">
        <v>0.36</v>
      </c>
      <c r="I11" s="533">
        <f t="shared" si="1"/>
        <v>8820.5759999999991</v>
      </c>
      <c r="J11" s="16">
        <v>0.3</v>
      </c>
      <c r="K11" s="533">
        <f>D11*G11*J11</f>
        <v>7350.48</v>
      </c>
      <c r="L11" s="533"/>
      <c r="M11" s="533"/>
      <c r="N11" s="533"/>
      <c r="O11" s="1078">
        <f>ROUND((N11+N12)/B11,3)</f>
        <v>0</v>
      </c>
      <c r="P11" s="533"/>
      <c r="Q11" s="533"/>
      <c r="R11" s="533"/>
      <c r="S11" s="533">
        <f t="shared" ref="S11:S15" si="3">I11+K11+L11+M11+P11-R11</f>
        <v>16171.055999999999</v>
      </c>
      <c r="T11" s="1060">
        <f>S11+S12</f>
        <v>23200.847999999998</v>
      </c>
      <c r="V11" s="18" t="s">
        <v>484</v>
      </c>
    </row>
    <row r="12" spans="1:22" x14ac:dyDescent="0.2">
      <c r="A12" s="1067"/>
      <c r="B12" s="1069"/>
      <c r="C12" s="990"/>
      <c r="D12" s="609">
        <v>887.6</v>
      </c>
      <c r="E12" s="1077"/>
      <c r="F12" s="608">
        <v>12</v>
      </c>
      <c r="G12" s="608">
        <v>12</v>
      </c>
      <c r="H12" s="16">
        <v>0.36</v>
      </c>
      <c r="I12" s="533">
        <f t="shared" si="1"/>
        <v>3834.4320000000002</v>
      </c>
      <c r="J12" s="16">
        <v>0.3</v>
      </c>
      <c r="K12" s="533">
        <f>D12*G12*J12</f>
        <v>3195.36</v>
      </c>
      <c r="L12" s="533"/>
      <c r="M12" s="533"/>
      <c r="N12" s="533"/>
      <c r="O12" s="1079"/>
      <c r="P12" s="533"/>
      <c r="Q12" s="533"/>
      <c r="R12" s="533"/>
      <c r="S12" s="533">
        <f>I12+K12+L12+M12+P12-R12</f>
        <v>7029.7920000000004</v>
      </c>
      <c r="T12" s="1061"/>
    </row>
    <row r="13" spans="1:22" ht="15" customHeight="1" x14ac:dyDescent="0.2">
      <c r="A13" s="582" t="str">
        <f>ТКО!A10</f>
        <v>МАОУ СОШ № 2 им.М.И.Грибушина структурное подразделение</v>
      </c>
      <c r="B13" s="630">
        <f>ТКО!B10</f>
        <v>288</v>
      </c>
      <c r="C13" s="626" t="s">
        <v>34</v>
      </c>
      <c r="D13" s="609">
        <v>2145</v>
      </c>
      <c r="E13" s="629">
        <f t="shared" ref="E13:E17" si="4">ROUND(D13/B13,3)</f>
        <v>7.4480000000000004</v>
      </c>
      <c r="F13" s="608">
        <v>12</v>
      </c>
      <c r="G13" s="608">
        <v>12</v>
      </c>
      <c r="H13" s="16">
        <v>0.37</v>
      </c>
      <c r="I13" s="533">
        <f>D13*F13*H13</f>
        <v>9523.7999999999993</v>
      </c>
      <c r="J13" s="16">
        <v>0.36</v>
      </c>
      <c r="K13" s="533">
        <f>D13*G13*J13</f>
        <v>9266.4</v>
      </c>
      <c r="L13" s="533"/>
      <c r="M13" s="533">
        <v>2000</v>
      </c>
      <c r="N13" s="533"/>
      <c r="O13" s="631">
        <f t="shared" ref="O13:O17" si="5">ROUND(N13/B13,3)</f>
        <v>0</v>
      </c>
      <c r="P13" s="533"/>
      <c r="Q13" s="533"/>
      <c r="R13" s="533"/>
      <c r="S13" s="533">
        <f>I13+K13+L13+M13+P13-R13</f>
        <v>20790.199999999997</v>
      </c>
      <c r="T13" s="195">
        <f>S13</f>
        <v>20790.199999999997</v>
      </c>
      <c r="V13" s="18" t="s">
        <v>489</v>
      </c>
    </row>
    <row r="14" spans="1:22" x14ac:dyDescent="0.2">
      <c r="A14" s="582" t="str">
        <f>ТКО!A11</f>
        <v>МАОУ СОШ № 10 структурное подразделение</v>
      </c>
      <c r="B14" s="630">
        <f>ТКО!B11</f>
        <v>262</v>
      </c>
      <c r="C14" s="626" t="s">
        <v>34</v>
      </c>
      <c r="D14" s="634">
        <f>1739.5-972.3+794.9</f>
        <v>1562.1</v>
      </c>
      <c r="E14" s="629">
        <f t="shared" si="4"/>
        <v>5.9619999999999997</v>
      </c>
      <c r="F14" s="632">
        <v>12</v>
      </c>
      <c r="G14" s="632">
        <v>12</v>
      </c>
      <c r="H14" s="533">
        <v>0.37</v>
      </c>
      <c r="I14" s="533">
        <f>(D14*F14*H14)+350</f>
        <v>7285.7239999999993</v>
      </c>
      <c r="J14" s="533">
        <v>0.36</v>
      </c>
      <c r="K14" s="533">
        <f t="shared" si="2"/>
        <v>6748.271999999999</v>
      </c>
      <c r="L14" s="533"/>
      <c r="M14" s="533"/>
      <c r="N14" s="533"/>
      <c r="O14" s="631">
        <f t="shared" si="5"/>
        <v>0</v>
      </c>
      <c r="P14" s="533"/>
      <c r="Q14" s="533"/>
      <c r="R14" s="533"/>
      <c r="S14" s="533">
        <f>I14+K14+L14+M14+P14-R14</f>
        <v>14033.995999999999</v>
      </c>
      <c r="T14" s="195">
        <f>S14</f>
        <v>14033.995999999999</v>
      </c>
      <c r="V14" s="18" t="s">
        <v>494</v>
      </c>
    </row>
    <row r="15" spans="1:22" x14ac:dyDescent="0.2">
      <c r="A15" s="582" t="str">
        <f>ТКО!A12</f>
        <v>МАОУ СОШ № 13 структурное подразделение</v>
      </c>
      <c r="B15" s="647">
        <f>ТКО!B12</f>
        <v>224</v>
      </c>
      <c r="C15" s="644" t="s">
        <v>34</v>
      </c>
      <c r="D15" s="653">
        <v>1100</v>
      </c>
      <c r="E15" s="648">
        <f t="shared" si="4"/>
        <v>4.9109999999999996</v>
      </c>
      <c r="F15" s="655">
        <v>10</v>
      </c>
      <c r="G15" s="655">
        <v>10</v>
      </c>
      <c r="H15" s="533">
        <f>0.37*1.2</f>
        <v>0.44400000000000001</v>
      </c>
      <c r="I15" s="533">
        <f t="shared" si="1"/>
        <v>4884</v>
      </c>
      <c r="J15" s="533">
        <f>0.46*1.2</f>
        <v>0.55200000000000005</v>
      </c>
      <c r="K15" s="533">
        <f t="shared" si="2"/>
        <v>6072.0000000000009</v>
      </c>
      <c r="L15" s="533"/>
      <c r="M15" s="533">
        <v>2000</v>
      </c>
      <c r="N15" s="533"/>
      <c r="O15" s="649">
        <f t="shared" si="5"/>
        <v>0</v>
      </c>
      <c r="P15" s="533"/>
      <c r="Q15" s="533"/>
      <c r="R15" s="533"/>
      <c r="S15" s="533">
        <f t="shared" si="3"/>
        <v>12956</v>
      </c>
      <c r="T15" s="195">
        <f t="shared" ref="T15:T16" si="6">S15</f>
        <v>12956</v>
      </c>
      <c r="V15" s="18" t="s">
        <v>506</v>
      </c>
    </row>
    <row r="16" spans="1:22" x14ac:dyDescent="0.2">
      <c r="A16" s="617" t="str">
        <f>ТКО!A13</f>
        <v>Гимназия № 16 структурное подразделение</v>
      </c>
      <c r="B16" s="618">
        <f>ТКО!B13</f>
        <v>456</v>
      </c>
      <c r="C16" s="616" t="s">
        <v>34</v>
      </c>
      <c r="D16" s="609">
        <v>3594.8</v>
      </c>
      <c r="E16" s="619">
        <f>ROUND(D16/B16,3)</f>
        <v>7.883</v>
      </c>
      <c r="F16" s="608">
        <v>12</v>
      </c>
      <c r="G16" s="608">
        <v>12</v>
      </c>
      <c r="H16" s="16">
        <v>0.48</v>
      </c>
      <c r="I16" s="533">
        <f>(D16*F16*H16)+(394.836*2)</f>
        <v>21495.72</v>
      </c>
      <c r="J16" s="16">
        <v>0.40799999999999997</v>
      </c>
      <c r="K16" s="533">
        <f t="shared" si="2"/>
        <v>17600.140800000001</v>
      </c>
      <c r="L16" s="533"/>
      <c r="M16" s="533"/>
      <c r="N16" s="533"/>
      <c r="O16" s="620">
        <f>ROUND(N16/B16,3)</f>
        <v>0</v>
      </c>
      <c r="P16" s="533"/>
      <c r="Q16" s="533"/>
      <c r="R16" s="533"/>
      <c r="S16" s="533">
        <f>I16+K16+L16+P16+M16+-R16</f>
        <v>39095.860800000002</v>
      </c>
      <c r="T16" s="195">
        <f t="shared" si="6"/>
        <v>39095.860800000002</v>
      </c>
      <c r="V16" s="18" t="s">
        <v>478</v>
      </c>
    </row>
    <row r="17" spans="1:22" ht="28.9" customHeight="1" x14ac:dyDescent="0.2">
      <c r="A17" s="582" t="str">
        <f>ТКО!A14</f>
        <v>МАОУ ООШ № 17 с кадетскими классами структурное подразделение</v>
      </c>
      <c r="B17" s="647">
        <f>ТКО!B14</f>
        <v>189</v>
      </c>
      <c r="C17" s="644" t="s">
        <v>34</v>
      </c>
      <c r="D17" s="653">
        <v>1164.4000000000001</v>
      </c>
      <c r="E17" s="648">
        <f t="shared" si="4"/>
        <v>6.1609999999999996</v>
      </c>
      <c r="F17" s="655">
        <v>12</v>
      </c>
      <c r="G17" s="655">
        <v>12</v>
      </c>
      <c r="H17" s="533">
        <f>0.41*1.2</f>
        <v>0.49199999999999994</v>
      </c>
      <c r="I17" s="533">
        <f t="shared" si="1"/>
        <v>6874.6175999999996</v>
      </c>
      <c r="J17" s="533">
        <f>0.35*1.2</f>
        <v>0.42</v>
      </c>
      <c r="K17" s="533">
        <f t="shared" si="2"/>
        <v>5868.576</v>
      </c>
      <c r="L17" s="533"/>
      <c r="M17" s="533"/>
      <c r="N17" s="533"/>
      <c r="O17" s="649">
        <f t="shared" si="5"/>
        <v>0</v>
      </c>
      <c r="P17" s="533"/>
      <c r="Q17" s="533"/>
      <c r="R17" s="533"/>
      <c r="S17" s="533">
        <f>I17+K17+L17+M17+P17-R17</f>
        <v>12743.193599999999</v>
      </c>
      <c r="T17" s="195">
        <f>S17</f>
        <v>12743.193599999999</v>
      </c>
      <c r="V17" s="18" t="s">
        <v>499</v>
      </c>
    </row>
    <row r="18" spans="1:22" x14ac:dyDescent="0.2">
      <c r="A18" s="218" t="s">
        <v>9</v>
      </c>
      <c r="B18" s="294">
        <f>SUM(B4:B17)</f>
        <v>3498</v>
      </c>
      <c r="C18" s="38"/>
      <c r="D18" s="149">
        <f>SUM(D4:D17)</f>
        <v>28637.599999999999</v>
      </c>
      <c r="E18" s="479">
        <f>ROUND(MEDIAN(E4:E17),3)</f>
        <v>7.4480000000000004</v>
      </c>
      <c r="F18" s="149">
        <f>ROUND(AVERAGE(F4:F17),0)</f>
        <v>12</v>
      </c>
      <c r="G18" s="149">
        <f>ROUND(AVERAGE(G4:G17),0)</f>
        <v>11</v>
      </c>
      <c r="H18" s="149">
        <f>ROUND(AVERAGE(H4:H17),2)</f>
        <v>0.39</v>
      </c>
      <c r="I18" s="149">
        <f>SUM(I4:I17)</f>
        <v>134635.79120000001</v>
      </c>
      <c r="J18" s="149">
        <f>ROUND(AVERAGE(J4:J17),2)</f>
        <v>0.43</v>
      </c>
      <c r="K18" s="149">
        <f>SUM(K4:K17)</f>
        <v>87862.182400000005</v>
      </c>
      <c r="L18" s="149">
        <f>SUM(L4:L17)</f>
        <v>0</v>
      </c>
      <c r="M18" s="149">
        <f>SUM(M4:M17)</f>
        <v>20000</v>
      </c>
      <c r="N18" s="149"/>
      <c r="O18" s="412">
        <f>ROUND(MEDIAN(O4:O17),3)</f>
        <v>0</v>
      </c>
      <c r="P18" s="149">
        <f>SUM(P4:P17)</f>
        <v>297.52999999999997</v>
      </c>
      <c r="Q18" s="149">
        <f>SUM(Q4:Q17)</f>
        <v>0</v>
      </c>
      <c r="R18" s="149">
        <f>SUM(R4:R17)</f>
        <v>0</v>
      </c>
      <c r="S18" s="149">
        <f>SUM(S4:S17)</f>
        <v>242795.50359999997</v>
      </c>
      <c r="T18" s="149">
        <f>SUM(T4:T17)</f>
        <v>242795.50359999997</v>
      </c>
    </row>
    <row r="19" spans="1:22" x14ac:dyDescent="0.2">
      <c r="H19" s="219"/>
      <c r="J19" s="219"/>
      <c r="P19" s="138" t="s">
        <v>240</v>
      </c>
      <c r="Q19" s="140"/>
      <c r="R19" s="140"/>
      <c r="S19" s="141">
        <f>ROUND((E18*F18*H18)+(E18*G18*J18)+(O18*P18),2)</f>
        <v>70.09</v>
      </c>
    </row>
  </sheetData>
  <mergeCells count="39">
    <mergeCell ref="A11:A12"/>
    <mergeCell ref="E11:E12"/>
    <mergeCell ref="E8:E10"/>
    <mergeCell ref="O8:O10"/>
    <mergeCell ref="C11:C12"/>
    <mergeCell ref="O11:O12"/>
    <mergeCell ref="B11:B12"/>
    <mergeCell ref="T11:T12"/>
    <mergeCell ref="A2:A3"/>
    <mergeCell ref="C2:C3"/>
    <mergeCell ref="D2:D3"/>
    <mergeCell ref="F2:F3"/>
    <mergeCell ref="H2:I2"/>
    <mergeCell ref="G2:G3"/>
    <mergeCell ref="B2:B3"/>
    <mergeCell ref="E2:E3"/>
    <mergeCell ref="E4:E5"/>
    <mergeCell ref="E6:E7"/>
    <mergeCell ref="O4:O5"/>
    <mergeCell ref="O6:O7"/>
    <mergeCell ref="S2:S3"/>
    <mergeCell ref="J2:K2"/>
    <mergeCell ref="L2:L3"/>
    <mergeCell ref="A1:T1"/>
    <mergeCell ref="T2:T3"/>
    <mergeCell ref="T4:T5"/>
    <mergeCell ref="T6:T7"/>
    <mergeCell ref="T8:T10"/>
    <mergeCell ref="N2:P2"/>
    <mergeCell ref="Q2:R2"/>
    <mergeCell ref="M2:M3"/>
    <mergeCell ref="A4:A5"/>
    <mergeCell ref="B4:B5"/>
    <mergeCell ref="C4:C5"/>
    <mergeCell ref="A6:A7"/>
    <mergeCell ref="B6:B7"/>
    <mergeCell ref="C6:C7"/>
    <mergeCell ref="A8:A10"/>
    <mergeCell ref="B8:B10"/>
  </mergeCells>
  <pageMargins left="0.75" right="0.75" top="1" bottom="1" header="0.5" footer="0.5"/>
  <pageSetup paperSize="9" scale="88" orientation="landscape" r:id="rId1"/>
  <headerFooter alignWithMargins="0"/>
  <colBreaks count="1" manualBreakCount="1">
    <brk id="15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pageSetUpPr fitToPage="1"/>
  </sheetPr>
  <dimension ref="A1:M27"/>
  <sheetViews>
    <sheetView zoomScale="110" zoomScaleNormal="110" workbookViewId="0">
      <selection activeCell="I22" sqref="I22"/>
    </sheetView>
  </sheetViews>
  <sheetFormatPr defaultColWidth="8.85546875" defaultRowHeight="12.75" x14ac:dyDescent="0.2"/>
  <cols>
    <col min="1" max="1" width="43" style="14" customWidth="1"/>
    <col min="2" max="2" width="12.28515625" style="14" customWidth="1"/>
    <col min="3" max="4" width="15.5703125" style="14" customWidth="1"/>
    <col min="5" max="5" width="12.7109375" style="14" customWidth="1"/>
    <col min="6" max="6" width="14.85546875" style="14" customWidth="1"/>
    <col min="7" max="7" width="12" style="14" customWidth="1"/>
    <col min="8" max="8" width="14.85546875" style="14" customWidth="1"/>
    <col min="9" max="9" width="11.42578125" style="14" customWidth="1"/>
    <col min="10" max="10" width="14" style="14" customWidth="1"/>
    <col min="11" max="11" width="12.28515625" style="14" customWidth="1"/>
    <col min="12" max="12" width="8.85546875" style="14"/>
    <col min="13" max="13" width="15.7109375" style="14" customWidth="1"/>
    <col min="14" max="14" width="17.5703125" style="14" customWidth="1"/>
    <col min="15" max="259" width="8.85546875" style="14"/>
    <col min="260" max="260" width="21.42578125" style="14" customWidth="1"/>
    <col min="261" max="261" width="14.28515625" style="14" customWidth="1"/>
    <col min="262" max="262" width="14.85546875" style="14" customWidth="1"/>
    <col min="263" max="263" width="12" style="14" customWidth="1"/>
    <col min="264" max="264" width="14.85546875" style="14" customWidth="1"/>
    <col min="265" max="265" width="11.42578125" style="14" customWidth="1"/>
    <col min="266" max="266" width="14" style="14" customWidth="1"/>
    <col min="267" max="515" width="8.85546875" style="14"/>
    <col min="516" max="516" width="21.42578125" style="14" customWidth="1"/>
    <col min="517" max="517" width="14.28515625" style="14" customWidth="1"/>
    <col min="518" max="518" width="14.85546875" style="14" customWidth="1"/>
    <col min="519" max="519" width="12" style="14" customWidth="1"/>
    <col min="520" max="520" width="14.85546875" style="14" customWidth="1"/>
    <col min="521" max="521" width="11.42578125" style="14" customWidth="1"/>
    <col min="522" max="522" width="14" style="14" customWidth="1"/>
    <col min="523" max="771" width="8.85546875" style="14"/>
    <col min="772" max="772" width="21.42578125" style="14" customWidth="1"/>
    <col min="773" max="773" width="14.28515625" style="14" customWidth="1"/>
    <col min="774" max="774" width="14.85546875" style="14" customWidth="1"/>
    <col min="775" max="775" width="12" style="14" customWidth="1"/>
    <col min="776" max="776" width="14.85546875" style="14" customWidth="1"/>
    <col min="777" max="777" width="11.42578125" style="14" customWidth="1"/>
    <col min="778" max="778" width="14" style="14" customWidth="1"/>
    <col min="779" max="1027" width="8.85546875" style="14"/>
    <col min="1028" max="1028" width="21.42578125" style="14" customWidth="1"/>
    <col min="1029" max="1029" width="14.28515625" style="14" customWidth="1"/>
    <col min="1030" max="1030" width="14.85546875" style="14" customWidth="1"/>
    <col min="1031" max="1031" width="12" style="14" customWidth="1"/>
    <col min="1032" max="1032" width="14.85546875" style="14" customWidth="1"/>
    <col min="1033" max="1033" width="11.42578125" style="14" customWidth="1"/>
    <col min="1034" max="1034" width="14" style="14" customWidth="1"/>
    <col min="1035" max="1283" width="8.85546875" style="14"/>
    <col min="1284" max="1284" width="21.42578125" style="14" customWidth="1"/>
    <col min="1285" max="1285" width="14.28515625" style="14" customWidth="1"/>
    <col min="1286" max="1286" width="14.85546875" style="14" customWidth="1"/>
    <col min="1287" max="1287" width="12" style="14" customWidth="1"/>
    <col min="1288" max="1288" width="14.85546875" style="14" customWidth="1"/>
    <col min="1289" max="1289" width="11.42578125" style="14" customWidth="1"/>
    <col min="1290" max="1290" width="14" style="14" customWidth="1"/>
    <col min="1291" max="1539" width="8.85546875" style="14"/>
    <col min="1540" max="1540" width="21.42578125" style="14" customWidth="1"/>
    <col min="1541" max="1541" width="14.28515625" style="14" customWidth="1"/>
    <col min="1542" max="1542" width="14.85546875" style="14" customWidth="1"/>
    <col min="1543" max="1543" width="12" style="14" customWidth="1"/>
    <col min="1544" max="1544" width="14.85546875" style="14" customWidth="1"/>
    <col min="1545" max="1545" width="11.42578125" style="14" customWidth="1"/>
    <col min="1546" max="1546" width="14" style="14" customWidth="1"/>
    <col min="1547" max="1795" width="8.85546875" style="14"/>
    <col min="1796" max="1796" width="21.42578125" style="14" customWidth="1"/>
    <col min="1797" max="1797" width="14.28515625" style="14" customWidth="1"/>
    <col min="1798" max="1798" width="14.85546875" style="14" customWidth="1"/>
    <col min="1799" max="1799" width="12" style="14" customWidth="1"/>
    <col min="1800" max="1800" width="14.85546875" style="14" customWidth="1"/>
    <col min="1801" max="1801" width="11.42578125" style="14" customWidth="1"/>
    <col min="1802" max="1802" width="14" style="14" customWidth="1"/>
    <col min="1803" max="2051" width="8.85546875" style="14"/>
    <col min="2052" max="2052" width="21.42578125" style="14" customWidth="1"/>
    <col min="2053" max="2053" width="14.28515625" style="14" customWidth="1"/>
    <col min="2054" max="2054" width="14.85546875" style="14" customWidth="1"/>
    <col min="2055" max="2055" width="12" style="14" customWidth="1"/>
    <col min="2056" max="2056" width="14.85546875" style="14" customWidth="1"/>
    <col min="2057" max="2057" width="11.42578125" style="14" customWidth="1"/>
    <col min="2058" max="2058" width="14" style="14" customWidth="1"/>
    <col min="2059" max="2307" width="8.85546875" style="14"/>
    <col min="2308" max="2308" width="21.42578125" style="14" customWidth="1"/>
    <col min="2309" max="2309" width="14.28515625" style="14" customWidth="1"/>
    <col min="2310" max="2310" width="14.85546875" style="14" customWidth="1"/>
    <col min="2311" max="2311" width="12" style="14" customWidth="1"/>
    <col min="2312" max="2312" width="14.85546875" style="14" customWidth="1"/>
    <col min="2313" max="2313" width="11.42578125" style="14" customWidth="1"/>
    <col min="2314" max="2314" width="14" style="14" customWidth="1"/>
    <col min="2315" max="2563" width="8.85546875" style="14"/>
    <col min="2564" max="2564" width="21.42578125" style="14" customWidth="1"/>
    <col min="2565" max="2565" width="14.28515625" style="14" customWidth="1"/>
    <col min="2566" max="2566" width="14.85546875" style="14" customWidth="1"/>
    <col min="2567" max="2567" width="12" style="14" customWidth="1"/>
    <col min="2568" max="2568" width="14.85546875" style="14" customWidth="1"/>
    <col min="2569" max="2569" width="11.42578125" style="14" customWidth="1"/>
    <col min="2570" max="2570" width="14" style="14" customWidth="1"/>
    <col min="2571" max="2819" width="8.85546875" style="14"/>
    <col min="2820" max="2820" width="21.42578125" style="14" customWidth="1"/>
    <col min="2821" max="2821" width="14.28515625" style="14" customWidth="1"/>
    <col min="2822" max="2822" width="14.85546875" style="14" customWidth="1"/>
    <col min="2823" max="2823" width="12" style="14" customWidth="1"/>
    <col min="2824" max="2824" width="14.85546875" style="14" customWidth="1"/>
    <col min="2825" max="2825" width="11.42578125" style="14" customWidth="1"/>
    <col min="2826" max="2826" width="14" style="14" customWidth="1"/>
    <col min="2827" max="3075" width="8.85546875" style="14"/>
    <col min="3076" max="3076" width="21.42578125" style="14" customWidth="1"/>
    <col min="3077" max="3077" width="14.28515625" style="14" customWidth="1"/>
    <col min="3078" max="3078" width="14.85546875" style="14" customWidth="1"/>
    <col min="3079" max="3079" width="12" style="14" customWidth="1"/>
    <col min="3080" max="3080" width="14.85546875" style="14" customWidth="1"/>
    <col min="3081" max="3081" width="11.42578125" style="14" customWidth="1"/>
    <col min="3082" max="3082" width="14" style="14" customWidth="1"/>
    <col min="3083" max="3331" width="8.85546875" style="14"/>
    <col min="3332" max="3332" width="21.42578125" style="14" customWidth="1"/>
    <col min="3333" max="3333" width="14.28515625" style="14" customWidth="1"/>
    <col min="3334" max="3334" width="14.85546875" style="14" customWidth="1"/>
    <col min="3335" max="3335" width="12" style="14" customWidth="1"/>
    <col min="3336" max="3336" width="14.85546875" style="14" customWidth="1"/>
    <col min="3337" max="3337" width="11.42578125" style="14" customWidth="1"/>
    <col min="3338" max="3338" width="14" style="14" customWidth="1"/>
    <col min="3339" max="3587" width="8.85546875" style="14"/>
    <col min="3588" max="3588" width="21.42578125" style="14" customWidth="1"/>
    <col min="3589" max="3589" width="14.28515625" style="14" customWidth="1"/>
    <col min="3590" max="3590" width="14.85546875" style="14" customWidth="1"/>
    <col min="3591" max="3591" width="12" style="14" customWidth="1"/>
    <col min="3592" max="3592" width="14.85546875" style="14" customWidth="1"/>
    <col min="3593" max="3593" width="11.42578125" style="14" customWidth="1"/>
    <col min="3594" max="3594" width="14" style="14" customWidth="1"/>
    <col min="3595" max="3843" width="8.85546875" style="14"/>
    <col min="3844" max="3844" width="21.42578125" style="14" customWidth="1"/>
    <col min="3845" max="3845" width="14.28515625" style="14" customWidth="1"/>
    <col min="3846" max="3846" width="14.85546875" style="14" customWidth="1"/>
    <col min="3847" max="3847" width="12" style="14" customWidth="1"/>
    <col min="3848" max="3848" width="14.85546875" style="14" customWidth="1"/>
    <col min="3849" max="3849" width="11.42578125" style="14" customWidth="1"/>
    <col min="3850" max="3850" width="14" style="14" customWidth="1"/>
    <col min="3851" max="4099" width="8.85546875" style="14"/>
    <col min="4100" max="4100" width="21.42578125" style="14" customWidth="1"/>
    <col min="4101" max="4101" width="14.28515625" style="14" customWidth="1"/>
    <col min="4102" max="4102" width="14.85546875" style="14" customWidth="1"/>
    <col min="4103" max="4103" width="12" style="14" customWidth="1"/>
    <col min="4104" max="4104" width="14.85546875" style="14" customWidth="1"/>
    <col min="4105" max="4105" width="11.42578125" style="14" customWidth="1"/>
    <col min="4106" max="4106" width="14" style="14" customWidth="1"/>
    <col min="4107" max="4355" width="8.85546875" style="14"/>
    <col min="4356" max="4356" width="21.42578125" style="14" customWidth="1"/>
    <col min="4357" max="4357" width="14.28515625" style="14" customWidth="1"/>
    <col min="4358" max="4358" width="14.85546875" style="14" customWidth="1"/>
    <col min="4359" max="4359" width="12" style="14" customWidth="1"/>
    <col min="4360" max="4360" width="14.85546875" style="14" customWidth="1"/>
    <col min="4361" max="4361" width="11.42578125" style="14" customWidth="1"/>
    <col min="4362" max="4362" width="14" style="14" customWidth="1"/>
    <col min="4363" max="4611" width="8.85546875" style="14"/>
    <col min="4612" max="4612" width="21.42578125" style="14" customWidth="1"/>
    <col min="4613" max="4613" width="14.28515625" style="14" customWidth="1"/>
    <col min="4614" max="4614" width="14.85546875" style="14" customWidth="1"/>
    <col min="4615" max="4615" width="12" style="14" customWidth="1"/>
    <col min="4616" max="4616" width="14.85546875" style="14" customWidth="1"/>
    <col min="4617" max="4617" width="11.42578125" style="14" customWidth="1"/>
    <col min="4618" max="4618" width="14" style="14" customWidth="1"/>
    <col min="4619" max="4867" width="8.85546875" style="14"/>
    <col min="4868" max="4868" width="21.42578125" style="14" customWidth="1"/>
    <col min="4869" max="4869" width="14.28515625" style="14" customWidth="1"/>
    <col min="4870" max="4870" width="14.85546875" style="14" customWidth="1"/>
    <col min="4871" max="4871" width="12" style="14" customWidth="1"/>
    <col min="4872" max="4872" width="14.85546875" style="14" customWidth="1"/>
    <col min="4873" max="4873" width="11.42578125" style="14" customWidth="1"/>
    <col min="4874" max="4874" width="14" style="14" customWidth="1"/>
    <col min="4875" max="5123" width="8.85546875" style="14"/>
    <col min="5124" max="5124" width="21.42578125" style="14" customWidth="1"/>
    <col min="5125" max="5125" width="14.28515625" style="14" customWidth="1"/>
    <col min="5126" max="5126" width="14.85546875" style="14" customWidth="1"/>
    <col min="5127" max="5127" width="12" style="14" customWidth="1"/>
    <col min="5128" max="5128" width="14.85546875" style="14" customWidth="1"/>
    <col min="5129" max="5129" width="11.42578125" style="14" customWidth="1"/>
    <col min="5130" max="5130" width="14" style="14" customWidth="1"/>
    <col min="5131" max="5379" width="8.85546875" style="14"/>
    <col min="5380" max="5380" width="21.42578125" style="14" customWidth="1"/>
    <col min="5381" max="5381" width="14.28515625" style="14" customWidth="1"/>
    <col min="5382" max="5382" width="14.85546875" style="14" customWidth="1"/>
    <col min="5383" max="5383" width="12" style="14" customWidth="1"/>
    <col min="5384" max="5384" width="14.85546875" style="14" customWidth="1"/>
    <col min="5385" max="5385" width="11.42578125" style="14" customWidth="1"/>
    <col min="5386" max="5386" width="14" style="14" customWidth="1"/>
    <col min="5387" max="5635" width="8.85546875" style="14"/>
    <col min="5636" max="5636" width="21.42578125" style="14" customWidth="1"/>
    <col min="5637" max="5637" width="14.28515625" style="14" customWidth="1"/>
    <col min="5638" max="5638" width="14.85546875" style="14" customWidth="1"/>
    <col min="5639" max="5639" width="12" style="14" customWidth="1"/>
    <col min="5640" max="5640" width="14.85546875" style="14" customWidth="1"/>
    <col min="5641" max="5641" width="11.42578125" style="14" customWidth="1"/>
    <col min="5642" max="5642" width="14" style="14" customWidth="1"/>
    <col min="5643" max="5891" width="8.85546875" style="14"/>
    <col min="5892" max="5892" width="21.42578125" style="14" customWidth="1"/>
    <col min="5893" max="5893" width="14.28515625" style="14" customWidth="1"/>
    <col min="5894" max="5894" width="14.85546875" style="14" customWidth="1"/>
    <col min="5895" max="5895" width="12" style="14" customWidth="1"/>
    <col min="5896" max="5896" width="14.85546875" style="14" customWidth="1"/>
    <col min="5897" max="5897" width="11.42578125" style="14" customWidth="1"/>
    <col min="5898" max="5898" width="14" style="14" customWidth="1"/>
    <col min="5899" max="6147" width="8.85546875" style="14"/>
    <col min="6148" max="6148" width="21.42578125" style="14" customWidth="1"/>
    <col min="6149" max="6149" width="14.28515625" style="14" customWidth="1"/>
    <col min="6150" max="6150" width="14.85546875" style="14" customWidth="1"/>
    <col min="6151" max="6151" width="12" style="14" customWidth="1"/>
    <col min="6152" max="6152" width="14.85546875" style="14" customWidth="1"/>
    <col min="6153" max="6153" width="11.42578125" style="14" customWidth="1"/>
    <col min="6154" max="6154" width="14" style="14" customWidth="1"/>
    <col min="6155" max="6403" width="8.85546875" style="14"/>
    <col min="6404" max="6404" width="21.42578125" style="14" customWidth="1"/>
    <col min="6405" max="6405" width="14.28515625" style="14" customWidth="1"/>
    <col min="6406" max="6406" width="14.85546875" style="14" customWidth="1"/>
    <col min="6407" max="6407" width="12" style="14" customWidth="1"/>
    <col min="6408" max="6408" width="14.85546875" style="14" customWidth="1"/>
    <col min="6409" max="6409" width="11.42578125" style="14" customWidth="1"/>
    <col min="6410" max="6410" width="14" style="14" customWidth="1"/>
    <col min="6411" max="6659" width="8.85546875" style="14"/>
    <col min="6660" max="6660" width="21.42578125" style="14" customWidth="1"/>
    <col min="6661" max="6661" width="14.28515625" style="14" customWidth="1"/>
    <col min="6662" max="6662" width="14.85546875" style="14" customWidth="1"/>
    <col min="6663" max="6663" width="12" style="14" customWidth="1"/>
    <col min="6664" max="6664" width="14.85546875" style="14" customWidth="1"/>
    <col min="6665" max="6665" width="11.42578125" style="14" customWidth="1"/>
    <col min="6666" max="6666" width="14" style="14" customWidth="1"/>
    <col min="6667" max="6915" width="8.85546875" style="14"/>
    <col min="6916" max="6916" width="21.42578125" style="14" customWidth="1"/>
    <col min="6917" max="6917" width="14.28515625" style="14" customWidth="1"/>
    <col min="6918" max="6918" width="14.85546875" style="14" customWidth="1"/>
    <col min="6919" max="6919" width="12" style="14" customWidth="1"/>
    <col min="6920" max="6920" width="14.85546875" style="14" customWidth="1"/>
    <col min="6921" max="6921" width="11.42578125" style="14" customWidth="1"/>
    <col min="6922" max="6922" width="14" style="14" customWidth="1"/>
    <col min="6923" max="7171" width="8.85546875" style="14"/>
    <col min="7172" max="7172" width="21.42578125" style="14" customWidth="1"/>
    <col min="7173" max="7173" width="14.28515625" style="14" customWidth="1"/>
    <col min="7174" max="7174" width="14.85546875" style="14" customWidth="1"/>
    <col min="7175" max="7175" width="12" style="14" customWidth="1"/>
    <col min="7176" max="7176" width="14.85546875" style="14" customWidth="1"/>
    <col min="7177" max="7177" width="11.42578125" style="14" customWidth="1"/>
    <col min="7178" max="7178" width="14" style="14" customWidth="1"/>
    <col min="7179" max="7427" width="8.85546875" style="14"/>
    <col min="7428" max="7428" width="21.42578125" style="14" customWidth="1"/>
    <col min="7429" max="7429" width="14.28515625" style="14" customWidth="1"/>
    <col min="7430" max="7430" width="14.85546875" style="14" customWidth="1"/>
    <col min="7431" max="7431" width="12" style="14" customWidth="1"/>
    <col min="7432" max="7432" width="14.85546875" style="14" customWidth="1"/>
    <col min="7433" max="7433" width="11.42578125" style="14" customWidth="1"/>
    <col min="7434" max="7434" width="14" style="14" customWidth="1"/>
    <col min="7435" max="7683" width="8.85546875" style="14"/>
    <col min="7684" max="7684" width="21.42578125" style="14" customWidth="1"/>
    <col min="7685" max="7685" width="14.28515625" style="14" customWidth="1"/>
    <col min="7686" max="7686" width="14.85546875" style="14" customWidth="1"/>
    <col min="7687" max="7687" width="12" style="14" customWidth="1"/>
    <col min="7688" max="7688" width="14.85546875" style="14" customWidth="1"/>
    <col min="7689" max="7689" width="11.42578125" style="14" customWidth="1"/>
    <col min="7690" max="7690" width="14" style="14" customWidth="1"/>
    <col min="7691" max="7939" width="8.85546875" style="14"/>
    <col min="7940" max="7940" width="21.42578125" style="14" customWidth="1"/>
    <col min="7941" max="7941" width="14.28515625" style="14" customWidth="1"/>
    <col min="7942" max="7942" width="14.85546875" style="14" customWidth="1"/>
    <col min="7943" max="7943" width="12" style="14" customWidth="1"/>
    <col min="7944" max="7944" width="14.85546875" style="14" customWidth="1"/>
    <col min="7945" max="7945" width="11.42578125" style="14" customWidth="1"/>
    <col min="7946" max="7946" width="14" style="14" customWidth="1"/>
    <col min="7947" max="8195" width="8.85546875" style="14"/>
    <col min="8196" max="8196" width="21.42578125" style="14" customWidth="1"/>
    <col min="8197" max="8197" width="14.28515625" style="14" customWidth="1"/>
    <col min="8198" max="8198" width="14.85546875" style="14" customWidth="1"/>
    <col min="8199" max="8199" width="12" style="14" customWidth="1"/>
    <col min="8200" max="8200" width="14.85546875" style="14" customWidth="1"/>
    <col min="8201" max="8201" width="11.42578125" style="14" customWidth="1"/>
    <col min="8202" max="8202" width="14" style="14" customWidth="1"/>
    <col min="8203" max="8451" width="8.85546875" style="14"/>
    <col min="8452" max="8452" width="21.42578125" style="14" customWidth="1"/>
    <col min="8453" max="8453" width="14.28515625" style="14" customWidth="1"/>
    <col min="8454" max="8454" width="14.85546875" style="14" customWidth="1"/>
    <col min="8455" max="8455" width="12" style="14" customWidth="1"/>
    <col min="8456" max="8456" width="14.85546875" style="14" customWidth="1"/>
    <col min="8457" max="8457" width="11.42578125" style="14" customWidth="1"/>
    <col min="8458" max="8458" width="14" style="14" customWidth="1"/>
    <col min="8459" max="8707" width="8.85546875" style="14"/>
    <col min="8708" max="8708" width="21.42578125" style="14" customWidth="1"/>
    <col min="8709" max="8709" width="14.28515625" style="14" customWidth="1"/>
    <col min="8710" max="8710" width="14.85546875" style="14" customWidth="1"/>
    <col min="8711" max="8711" width="12" style="14" customWidth="1"/>
    <col min="8712" max="8712" width="14.85546875" style="14" customWidth="1"/>
    <col min="8713" max="8713" width="11.42578125" style="14" customWidth="1"/>
    <col min="8714" max="8714" width="14" style="14" customWidth="1"/>
    <col min="8715" max="8963" width="8.85546875" style="14"/>
    <col min="8964" max="8964" width="21.42578125" style="14" customWidth="1"/>
    <col min="8965" max="8965" width="14.28515625" style="14" customWidth="1"/>
    <col min="8966" max="8966" width="14.85546875" style="14" customWidth="1"/>
    <col min="8967" max="8967" width="12" style="14" customWidth="1"/>
    <col min="8968" max="8968" width="14.85546875" style="14" customWidth="1"/>
    <col min="8969" max="8969" width="11.42578125" style="14" customWidth="1"/>
    <col min="8970" max="8970" width="14" style="14" customWidth="1"/>
    <col min="8971" max="9219" width="8.85546875" style="14"/>
    <col min="9220" max="9220" width="21.42578125" style="14" customWidth="1"/>
    <col min="9221" max="9221" width="14.28515625" style="14" customWidth="1"/>
    <col min="9222" max="9222" width="14.85546875" style="14" customWidth="1"/>
    <col min="9223" max="9223" width="12" style="14" customWidth="1"/>
    <col min="9224" max="9224" width="14.85546875" style="14" customWidth="1"/>
    <col min="9225" max="9225" width="11.42578125" style="14" customWidth="1"/>
    <col min="9226" max="9226" width="14" style="14" customWidth="1"/>
    <col min="9227" max="9475" width="8.85546875" style="14"/>
    <col min="9476" max="9476" width="21.42578125" style="14" customWidth="1"/>
    <col min="9477" max="9477" width="14.28515625" style="14" customWidth="1"/>
    <col min="9478" max="9478" width="14.85546875" style="14" customWidth="1"/>
    <col min="9479" max="9479" width="12" style="14" customWidth="1"/>
    <col min="9480" max="9480" width="14.85546875" style="14" customWidth="1"/>
    <col min="9481" max="9481" width="11.42578125" style="14" customWidth="1"/>
    <col min="9482" max="9482" width="14" style="14" customWidth="1"/>
    <col min="9483" max="9731" width="8.85546875" style="14"/>
    <col min="9732" max="9732" width="21.42578125" style="14" customWidth="1"/>
    <col min="9733" max="9733" width="14.28515625" style="14" customWidth="1"/>
    <col min="9734" max="9734" width="14.85546875" style="14" customWidth="1"/>
    <col min="9735" max="9735" width="12" style="14" customWidth="1"/>
    <col min="9736" max="9736" width="14.85546875" style="14" customWidth="1"/>
    <col min="9737" max="9737" width="11.42578125" style="14" customWidth="1"/>
    <col min="9738" max="9738" width="14" style="14" customWidth="1"/>
    <col min="9739" max="9987" width="8.85546875" style="14"/>
    <col min="9988" max="9988" width="21.42578125" style="14" customWidth="1"/>
    <col min="9989" max="9989" width="14.28515625" style="14" customWidth="1"/>
    <col min="9990" max="9990" width="14.85546875" style="14" customWidth="1"/>
    <col min="9991" max="9991" width="12" style="14" customWidth="1"/>
    <col min="9992" max="9992" width="14.85546875" style="14" customWidth="1"/>
    <col min="9993" max="9993" width="11.42578125" style="14" customWidth="1"/>
    <col min="9994" max="9994" width="14" style="14" customWidth="1"/>
    <col min="9995" max="10243" width="8.85546875" style="14"/>
    <col min="10244" max="10244" width="21.42578125" style="14" customWidth="1"/>
    <col min="10245" max="10245" width="14.28515625" style="14" customWidth="1"/>
    <col min="10246" max="10246" width="14.85546875" style="14" customWidth="1"/>
    <col min="10247" max="10247" width="12" style="14" customWidth="1"/>
    <col min="10248" max="10248" width="14.85546875" style="14" customWidth="1"/>
    <col min="10249" max="10249" width="11.42578125" style="14" customWidth="1"/>
    <col min="10250" max="10250" width="14" style="14" customWidth="1"/>
    <col min="10251" max="10499" width="8.85546875" style="14"/>
    <col min="10500" max="10500" width="21.42578125" style="14" customWidth="1"/>
    <col min="10501" max="10501" width="14.28515625" style="14" customWidth="1"/>
    <col min="10502" max="10502" width="14.85546875" style="14" customWidth="1"/>
    <col min="10503" max="10503" width="12" style="14" customWidth="1"/>
    <col min="10504" max="10504" width="14.85546875" style="14" customWidth="1"/>
    <col min="10505" max="10505" width="11.42578125" style="14" customWidth="1"/>
    <col min="10506" max="10506" width="14" style="14" customWidth="1"/>
    <col min="10507" max="10755" width="8.85546875" style="14"/>
    <col min="10756" max="10756" width="21.42578125" style="14" customWidth="1"/>
    <col min="10757" max="10757" width="14.28515625" style="14" customWidth="1"/>
    <col min="10758" max="10758" width="14.85546875" style="14" customWidth="1"/>
    <col min="10759" max="10759" width="12" style="14" customWidth="1"/>
    <col min="10760" max="10760" width="14.85546875" style="14" customWidth="1"/>
    <col min="10761" max="10761" width="11.42578125" style="14" customWidth="1"/>
    <col min="10762" max="10762" width="14" style="14" customWidth="1"/>
    <col min="10763" max="11011" width="8.85546875" style="14"/>
    <col min="11012" max="11012" width="21.42578125" style="14" customWidth="1"/>
    <col min="11013" max="11013" width="14.28515625" style="14" customWidth="1"/>
    <col min="11014" max="11014" width="14.85546875" style="14" customWidth="1"/>
    <col min="11015" max="11015" width="12" style="14" customWidth="1"/>
    <col min="11016" max="11016" width="14.85546875" style="14" customWidth="1"/>
    <col min="11017" max="11017" width="11.42578125" style="14" customWidth="1"/>
    <col min="11018" max="11018" width="14" style="14" customWidth="1"/>
    <col min="11019" max="11267" width="8.85546875" style="14"/>
    <col min="11268" max="11268" width="21.42578125" style="14" customWidth="1"/>
    <col min="11269" max="11269" width="14.28515625" style="14" customWidth="1"/>
    <col min="11270" max="11270" width="14.85546875" style="14" customWidth="1"/>
    <col min="11271" max="11271" width="12" style="14" customWidth="1"/>
    <col min="11272" max="11272" width="14.85546875" style="14" customWidth="1"/>
    <col min="11273" max="11273" width="11.42578125" style="14" customWidth="1"/>
    <col min="11274" max="11274" width="14" style="14" customWidth="1"/>
    <col min="11275" max="11523" width="8.85546875" style="14"/>
    <col min="11524" max="11524" width="21.42578125" style="14" customWidth="1"/>
    <col min="11525" max="11525" width="14.28515625" style="14" customWidth="1"/>
    <col min="11526" max="11526" width="14.85546875" style="14" customWidth="1"/>
    <col min="11527" max="11527" width="12" style="14" customWidth="1"/>
    <col min="11528" max="11528" width="14.85546875" style="14" customWidth="1"/>
    <col min="11529" max="11529" width="11.42578125" style="14" customWidth="1"/>
    <col min="11530" max="11530" width="14" style="14" customWidth="1"/>
    <col min="11531" max="11779" width="8.85546875" style="14"/>
    <col min="11780" max="11780" width="21.42578125" style="14" customWidth="1"/>
    <col min="11781" max="11781" width="14.28515625" style="14" customWidth="1"/>
    <col min="11782" max="11782" width="14.85546875" style="14" customWidth="1"/>
    <col min="11783" max="11783" width="12" style="14" customWidth="1"/>
    <col min="11784" max="11784" width="14.85546875" style="14" customWidth="1"/>
    <col min="11785" max="11785" width="11.42578125" style="14" customWidth="1"/>
    <col min="11786" max="11786" width="14" style="14" customWidth="1"/>
    <col min="11787" max="12035" width="8.85546875" style="14"/>
    <col min="12036" max="12036" width="21.42578125" style="14" customWidth="1"/>
    <col min="12037" max="12037" width="14.28515625" style="14" customWidth="1"/>
    <col min="12038" max="12038" width="14.85546875" style="14" customWidth="1"/>
    <col min="12039" max="12039" width="12" style="14" customWidth="1"/>
    <col min="12040" max="12040" width="14.85546875" style="14" customWidth="1"/>
    <col min="12041" max="12041" width="11.42578125" style="14" customWidth="1"/>
    <col min="12042" max="12042" width="14" style="14" customWidth="1"/>
    <col min="12043" max="12291" width="8.85546875" style="14"/>
    <col min="12292" max="12292" width="21.42578125" style="14" customWidth="1"/>
    <col min="12293" max="12293" width="14.28515625" style="14" customWidth="1"/>
    <col min="12294" max="12294" width="14.85546875" style="14" customWidth="1"/>
    <col min="12295" max="12295" width="12" style="14" customWidth="1"/>
    <col min="12296" max="12296" width="14.85546875" style="14" customWidth="1"/>
    <col min="12297" max="12297" width="11.42578125" style="14" customWidth="1"/>
    <col min="12298" max="12298" width="14" style="14" customWidth="1"/>
    <col min="12299" max="12547" width="8.85546875" style="14"/>
    <col min="12548" max="12548" width="21.42578125" style="14" customWidth="1"/>
    <col min="12549" max="12549" width="14.28515625" style="14" customWidth="1"/>
    <col min="12550" max="12550" width="14.85546875" style="14" customWidth="1"/>
    <col min="12551" max="12551" width="12" style="14" customWidth="1"/>
    <col min="12552" max="12552" width="14.85546875" style="14" customWidth="1"/>
    <col min="12553" max="12553" width="11.42578125" style="14" customWidth="1"/>
    <col min="12554" max="12554" width="14" style="14" customWidth="1"/>
    <col min="12555" max="12803" width="8.85546875" style="14"/>
    <col min="12804" max="12804" width="21.42578125" style="14" customWidth="1"/>
    <col min="12805" max="12805" width="14.28515625" style="14" customWidth="1"/>
    <col min="12806" max="12806" width="14.85546875" style="14" customWidth="1"/>
    <col min="12807" max="12807" width="12" style="14" customWidth="1"/>
    <col min="12808" max="12808" width="14.85546875" style="14" customWidth="1"/>
    <col min="12809" max="12809" width="11.42578125" style="14" customWidth="1"/>
    <col min="12810" max="12810" width="14" style="14" customWidth="1"/>
    <col min="12811" max="13059" width="8.85546875" style="14"/>
    <col min="13060" max="13060" width="21.42578125" style="14" customWidth="1"/>
    <col min="13061" max="13061" width="14.28515625" style="14" customWidth="1"/>
    <col min="13062" max="13062" width="14.85546875" style="14" customWidth="1"/>
    <col min="13063" max="13063" width="12" style="14" customWidth="1"/>
    <col min="13064" max="13064" width="14.85546875" style="14" customWidth="1"/>
    <col min="13065" max="13065" width="11.42578125" style="14" customWidth="1"/>
    <col min="13066" max="13066" width="14" style="14" customWidth="1"/>
    <col min="13067" max="13315" width="8.85546875" style="14"/>
    <col min="13316" max="13316" width="21.42578125" style="14" customWidth="1"/>
    <col min="13317" max="13317" width="14.28515625" style="14" customWidth="1"/>
    <col min="13318" max="13318" width="14.85546875" style="14" customWidth="1"/>
    <col min="13319" max="13319" width="12" style="14" customWidth="1"/>
    <col min="13320" max="13320" width="14.85546875" style="14" customWidth="1"/>
    <col min="13321" max="13321" width="11.42578125" style="14" customWidth="1"/>
    <col min="13322" max="13322" width="14" style="14" customWidth="1"/>
    <col min="13323" max="13571" width="8.85546875" style="14"/>
    <col min="13572" max="13572" width="21.42578125" style="14" customWidth="1"/>
    <col min="13573" max="13573" width="14.28515625" style="14" customWidth="1"/>
    <col min="13574" max="13574" width="14.85546875" style="14" customWidth="1"/>
    <col min="13575" max="13575" width="12" style="14" customWidth="1"/>
    <col min="13576" max="13576" width="14.85546875" style="14" customWidth="1"/>
    <col min="13577" max="13577" width="11.42578125" style="14" customWidth="1"/>
    <col min="13578" max="13578" width="14" style="14" customWidth="1"/>
    <col min="13579" max="13827" width="8.85546875" style="14"/>
    <col min="13828" max="13828" width="21.42578125" style="14" customWidth="1"/>
    <col min="13829" max="13829" width="14.28515625" style="14" customWidth="1"/>
    <col min="13830" max="13830" width="14.85546875" style="14" customWidth="1"/>
    <col min="13831" max="13831" width="12" style="14" customWidth="1"/>
    <col min="13832" max="13832" width="14.85546875" style="14" customWidth="1"/>
    <col min="13833" max="13833" width="11.42578125" style="14" customWidth="1"/>
    <col min="13834" max="13834" width="14" style="14" customWidth="1"/>
    <col min="13835" max="14083" width="8.85546875" style="14"/>
    <col min="14084" max="14084" width="21.42578125" style="14" customWidth="1"/>
    <col min="14085" max="14085" width="14.28515625" style="14" customWidth="1"/>
    <col min="14086" max="14086" width="14.85546875" style="14" customWidth="1"/>
    <col min="14087" max="14087" width="12" style="14" customWidth="1"/>
    <col min="14088" max="14088" width="14.85546875" style="14" customWidth="1"/>
    <col min="14089" max="14089" width="11.42578125" style="14" customWidth="1"/>
    <col min="14090" max="14090" width="14" style="14" customWidth="1"/>
    <col min="14091" max="14339" width="8.85546875" style="14"/>
    <col min="14340" max="14340" width="21.42578125" style="14" customWidth="1"/>
    <col min="14341" max="14341" width="14.28515625" style="14" customWidth="1"/>
    <col min="14342" max="14342" width="14.85546875" style="14" customWidth="1"/>
    <col min="14343" max="14343" width="12" style="14" customWidth="1"/>
    <col min="14344" max="14344" width="14.85546875" style="14" customWidth="1"/>
    <col min="14345" max="14345" width="11.42578125" style="14" customWidth="1"/>
    <col min="14346" max="14346" width="14" style="14" customWidth="1"/>
    <col min="14347" max="14595" width="8.85546875" style="14"/>
    <col min="14596" max="14596" width="21.42578125" style="14" customWidth="1"/>
    <col min="14597" max="14597" width="14.28515625" style="14" customWidth="1"/>
    <col min="14598" max="14598" width="14.85546875" style="14" customWidth="1"/>
    <col min="14599" max="14599" width="12" style="14" customWidth="1"/>
    <col min="14600" max="14600" width="14.85546875" style="14" customWidth="1"/>
    <col min="14601" max="14601" width="11.42578125" style="14" customWidth="1"/>
    <col min="14602" max="14602" width="14" style="14" customWidth="1"/>
    <col min="14603" max="14851" width="8.85546875" style="14"/>
    <col min="14852" max="14852" width="21.42578125" style="14" customWidth="1"/>
    <col min="14853" max="14853" width="14.28515625" style="14" customWidth="1"/>
    <col min="14854" max="14854" width="14.85546875" style="14" customWidth="1"/>
    <col min="14855" max="14855" width="12" style="14" customWidth="1"/>
    <col min="14856" max="14856" width="14.85546875" style="14" customWidth="1"/>
    <col min="14857" max="14857" width="11.42578125" style="14" customWidth="1"/>
    <col min="14858" max="14858" width="14" style="14" customWidth="1"/>
    <col min="14859" max="15107" width="8.85546875" style="14"/>
    <col min="15108" max="15108" width="21.42578125" style="14" customWidth="1"/>
    <col min="15109" max="15109" width="14.28515625" style="14" customWidth="1"/>
    <col min="15110" max="15110" width="14.85546875" style="14" customWidth="1"/>
    <col min="15111" max="15111" width="12" style="14" customWidth="1"/>
    <col min="15112" max="15112" width="14.85546875" style="14" customWidth="1"/>
    <col min="15113" max="15113" width="11.42578125" style="14" customWidth="1"/>
    <col min="15114" max="15114" width="14" style="14" customWidth="1"/>
    <col min="15115" max="15363" width="8.85546875" style="14"/>
    <col min="15364" max="15364" width="21.42578125" style="14" customWidth="1"/>
    <col min="15365" max="15365" width="14.28515625" style="14" customWidth="1"/>
    <col min="15366" max="15366" width="14.85546875" style="14" customWidth="1"/>
    <col min="15367" max="15367" width="12" style="14" customWidth="1"/>
    <col min="15368" max="15368" width="14.85546875" style="14" customWidth="1"/>
    <col min="15369" max="15369" width="11.42578125" style="14" customWidth="1"/>
    <col min="15370" max="15370" width="14" style="14" customWidth="1"/>
    <col min="15371" max="15619" width="8.85546875" style="14"/>
    <col min="15620" max="15620" width="21.42578125" style="14" customWidth="1"/>
    <col min="15621" max="15621" width="14.28515625" style="14" customWidth="1"/>
    <col min="15622" max="15622" width="14.85546875" style="14" customWidth="1"/>
    <col min="15623" max="15623" width="12" style="14" customWidth="1"/>
    <col min="15624" max="15624" width="14.85546875" style="14" customWidth="1"/>
    <col min="15625" max="15625" width="11.42578125" style="14" customWidth="1"/>
    <col min="15626" max="15626" width="14" style="14" customWidth="1"/>
    <col min="15627" max="15875" width="8.85546875" style="14"/>
    <col min="15876" max="15876" width="21.42578125" style="14" customWidth="1"/>
    <col min="15877" max="15877" width="14.28515625" style="14" customWidth="1"/>
    <col min="15878" max="15878" width="14.85546875" style="14" customWidth="1"/>
    <col min="15879" max="15879" width="12" style="14" customWidth="1"/>
    <col min="15880" max="15880" width="14.85546875" style="14" customWidth="1"/>
    <col min="15881" max="15881" width="11.42578125" style="14" customWidth="1"/>
    <col min="15882" max="15882" width="14" style="14" customWidth="1"/>
    <col min="15883" max="16131" width="8.85546875" style="14"/>
    <col min="16132" max="16132" width="21.42578125" style="14" customWidth="1"/>
    <col min="16133" max="16133" width="14.28515625" style="14" customWidth="1"/>
    <col min="16134" max="16134" width="14.85546875" style="14" customWidth="1"/>
    <col min="16135" max="16135" width="12" style="14" customWidth="1"/>
    <col min="16136" max="16136" width="14.85546875" style="14" customWidth="1"/>
    <col min="16137" max="16137" width="11.42578125" style="14" customWidth="1"/>
    <col min="16138" max="16138" width="14" style="14" customWidth="1"/>
    <col min="16139" max="16384" width="8.85546875" style="14"/>
  </cols>
  <sheetData>
    <row r="1" spans="1:13" ht="15.6" customHeight="1" x14ac:dyDescent="0.2">
      <c r="A1" s="410" t="s">
        <v>410</v>
      </c>
      <c r="B1" s="28"/>
      <c r="C1" s="28"/>
      <c r="D1" s="28"/>
      <c r="E1" s="147"/>
      <c r="F1" s="147"/>
      <c r="G1" s="147"/>
      <c r="H1" s="147"/>
      <c r="I1" s="147"/>
    </row>
    <row r="2" spans="1:13" x14ac:dyDescent="0.2">
      <c r="A2" s="14" t="s">
        <v>35</v>
      </c>
    </row>
    <row r="3" spans="1:13" s="18" customFormat="1" ht="44.25" customHeight="1" x14ac:dyDescent="0.2">
      <c r="A3" s="989" t="s">
        <v>132</v>
      </c>
      <c r="B3" s="1021" t="str">
        <f>'Дератизация, дезинсекция'!B2</f>
        <v xml:space="preserve">Нормативная численность обучающихся </v>
      </c>
      <c r="C3" s="989" t="s">
        <v>36</v>
      </c>
      <c r="D3" s="985" t="s">
        <v>37</v>
      </c>
      <c r="E3" s="986"/>
      <c r="F3" s="987"/>
      <c r="G3" s="988" t="s">
        <v>38</v>
      </c>
      <c r="H3" s="988" t="s">
        <v>39</v>
      </c>
      <c r="I3" s="1084" t="s">
        <v>322</v>
      </c>
      <c r="J3" s="988" t="s">
        <v>40</v>
      </c>
      <c r="K3" s="988" t="s">
        <v>25</v>
      </c>
    </row>
    <row r="4" spans="1:13" s="18" customFormat="1" ht="66" customHeight="1" x14ac:dyDescent="0.2">
      <c r="A4" s="990"/>
      <c r="B4" s="1023"/>
      <c r="C4" s="990"/>
      <c r="D4" s="222" t="s">
        <v>185</v>
      </c>
      <c r="E4" s="220" t="s">
        <v>43</v>
      </c>
      <c r="F4" s="220" t="s">
        <v>179</v>
      </c>
      <c r="G4" s="988"/>
      <c r="H4" s="988"/>
      <c r="I4" s="1085"/>
      <c r="J4" s="988"/>
      <c r="K4" s="988"/>
    </row>
    <row r="5" spans="1:13" s="18" customFormat="1" ht="12.75" customHeight="1" x14ac:dyDescent="0.2">
      <c r="A5" s="205" t="str">
        <f>ТКО!A6</f>
        <v>МАДОУ ЦРР-детский сад № 2</v>
      </c>
      <c r="B5" s="215">
        <f>ТКО!B6</f>
        <v>506</v>
      </c>
      <c r="C5" s="208">
        <f>'Исходные данные'!D4</f>
        <v>3469.5000000000005</v>
      </c>
      <c r="D5" s="210">
        <v>2</v>
      </c>
      <c r="E5" s="210">
        <v>200</v>
      </c>
      <c r="F5" s="211">
        <f>C5/E5*D5</f>
        <v>34.695000000000007</v>
      </c>
      <c r="G5" s="209">
        <v>5</v>
      </c>
      <c r="H5" s="209">
        <f>ROUND(F5/G5,0)</f>
        <v>7</v>
      </c>
      <c r="I5" s="390">
        <f>ROUND(H5/B5,3)</f>
        <v>1.4E-2</v>
      </c>
      <c r="J5" s="585">
        <v>346</v>
      </c>
      <c r="K5" s="208">
        <f>J5*H5</f>
        <v>2422</v>
      </c>
      <c r="M5" s="18" t="s">
        <v>610</v>
      </c>
    </row>
    <row r="6" spans="1:13" s="18" customFormat="1" ht="12.75" customHeight="1" x14ac:dyDescent="0.2">
      <c r="A6" s="205" t="str">
        <f>ТКО!A7</f>
        <v>МАДОУ ЦРР-детский сад № 11</v>
      </c>
      <c r="B6" s="215">
        <f>ТКО!B7</f>
        <v>559</v>
      </c>
      <c r="C6" s="208">
        <f>'Исходные данные'!D5</f>
        <v>5918.0999999999995</v>
      </c>
      <c r="D6" s="210">
        <v>2</v>
      </c>
      <c r="E6" s="210">
        <v>200</v>
      </c>
      <c r="F6" s="211">
        <f t="shared" ref="F6:F13" si="0">C6/E6*D6</f>
        <v>59.180999999999997</v>
      </c>
      <c r="G6" s="209">
        <v>5</v>
      </c>
      <c r="H6" s="209">
        <f t="shared" ref="H6:H13" si="1">ROUND(F6/G6,0)</f>
        <v>12</v>
      </c>
      <c r="I6" s="391">
        <f t="shared" ref="I6:I13" si="2">ROUND(H6/B6,3)</f>
        <v>2.1000000000000001E-2</v>
      </c>
      <c r="J6" s="621">
        <v>346</v>
      </c>
      <c r="K6" s="208">
        <f t="shared" ref="K6:K13" si="3">J6*H6</f>
        <v>4152</v>
      </c>
    </row>
    <row r="7" spans="1:13" s="18" customFormat="1" ht="12.75" customHeight="1" x14ac:dyDescent="0.2">
      <c r="A7" s="205" t="str">
        <f>ТКО!A8</f>
        <v>МАДОУ ЦРР-детский сад № 13</v>
      </c>
      <c r="B7" s="215">
        <f>ТКО!B8</f>
        <v>633</v>
      </c>
      <c r="C7" s="208">
        <f>'Исходные данные'!D6</f>
        <v>6119.6</v>
      </c>
      <c r="D7" s="210">
        <v>2</v>
      </c>
      <c r="E7" s="210">
        <v>200</v>
      </c>
      <c r="F7" s="211">
        <f t="shared" si="0"/>
        <v>61.196000000000005</v>
      </c>
      <c r="G7" s="209">
        <v>5</v>
      </c>
      <c r="H7" s="209">
        <f t="shared" si="1"/>
        <v>12</v>
      </c>
      <c r="I7" s="391">
        <f t="shared" si="2"/>
        <v>1.9E-2</v>
      </c>
      <c r="J7" s="621">
        <v>346</v>
      </c>
      <c r="K7" s="208">
        <f t="shared" si="3"/>
        <v>4152</v>
      </c>
    </row>
    <row r="8" spans="1:13" s="18" customFormat="1" ht="12.75" customHeight="1" x14ac:dyDescent="0.2">
      <c r="A8" s="205" t="str">
        <f>ТКО!A9</f>
        <v>МАОУ СОШ № 1 структурное подразделение</v>
      </c>
      <c r="B8" s="215">
        <f>ТКО!B9</f>
        <v>381</v>
      </c>
      <c r="C8" s="208">
        <f>'Исходные данные'!D7</f>
        <v>2924.5</v>
      </c>
      <c r="D8" s="210">
        <v>2</v>
      </c>
      <c r="E8" s="210">
        <v>200</v>
      </c>
      <c r="F8" s="211">
        <f t="shared" si="0"/>
        <v>29.245000000000001</v>
      </c>
      <c r="G8" s="209">
        <v>5</v>
      </c>
      <c r="H8" s="209">
        <f t="shared" si="1"/>
        <v>6</v>
      </c>
      <c r="I8" s="391">
        <f t="shared" si="2"/>
        <v>1.6E-2</v>
      </c>
      <c r="J8" s="621">
        <v>346</v>
      </c>
      <c r="K8" s="208">
        <f t="shared" si="3"/>
        <v>2076</v>
      </c>
      <c r="M8" s="18" t="s">
        <v>487</v>
      </c>
    </row>
    <row r="9" spans="1:13" s="18" customFormat="1" ht="25.5" customHeight="1" x14ac:dyDescent="0.2">
      <c r="A9" s="205" t="str">
        <f>ТКО!A10</f>
        <v>МАОУ СОШ № 2 им.М.И.Грибушина структурное подразделение</v>
      </c>
      <c r="B9" s="215">
        <f>ТКО!B10</f>
        <v>288</v>
      </c>
      <c r="C9" s="208">
        <f>'Исходные данные'!D8</f>
        <v>2342.9</v>
      </c>
      <c r="D9" s="210">
        <v>2</v>
      </c>
      <c r="E9" s="210">
        <v>200</v>
      </c>
      <c r="F9" s="211">
        <f t="shared" si="0"/>
        <v>23.429000000000002</v>
      </c>
      <c r="G9" s="209">
        <v>5</v>
      </c>
      <c r="H9" s="209">
        <f t="shared" si="1"/>
        <v>5</v>
      </c>
      <c r="I9" s="391">
        <f t="shared" si="2"/>
        <v>1.7000000000000001E-2</v>
      </c>
      <c r="J9" s="621">
        <v>346</v>
      </c>
      <c r="K9" s="208">
        <f t="shared" si="3"/>
        <v>1730</v>
      </c>
      <c r="M9" s="18" t="s">
        <v>490</v>
      </c>
    </row>
    <row r="10" spans="1:13" s="18" customFormat="1" ht="12.75" customHeight="1" x14ac:dyDescent="0.2">
      <c r="A10" s="205" t="str">
        <f>ТКО!A11</f>
        <v>МАОУ СОШ № 10 структурное подразделение</v>
      </c>
      <c r="B10" s="215">
        <f>ТКО!B11</f>
        <v>262</v>
      </c>
      <c r="C10" s="208">
        <f>'Исходные данные'!D9</f>
        <v>1562.1</v>
      </c>
      <c r="D10" s="210">
        <v>2</v>
      </c>
      <c r="E10" s="210">
        <v>200</v>
      </c>
      <c r="F10" s="211">
        <f t="shared" si="0"/>
        <v>15.620999999999999</v>
      </c>
      <c r="G10" s="209">
        <v>5</v>
      </c>
      <c r="H10" s="209">
        <f t="shared" si="1"/>
        <v>3</v>
      </c>
      <c r="I10" s="391">
        <f t="shared" si="2"/>
        <v>1.0999999999999999E-2</v>
      </c>
      <c r="J10" s="621">
        <v>346</v>
      </c>
      <c r="K10" s="208">
        <f t="shared" si="3"/>
        <v>1038</v>
      </c>
    </row>
    <row r="11" spans="1:13" s="18" customFormat="1" ht="12.75" customHeight="1" x14ac:dyDescent="0.2">
      <c r="A11" s="205" t="str">
        <f>ТКО!A12</f>
        <v>МАОУ СОШ № 13 структурное подразделение</v>
      </c>
      <c r="B11" s="215">
        <f>ТКО!B12</f>
        <v>224</v>
      </c>
      <c r="C11" s="208">
        <f>'Исходные данные'!D10</f>
        <v>2229.8000000000002</v>
      </c>
      <c r="D11" s="210">
        <v>2</v>
      </c>
      <c r="E11" s="210">
        <v>200</v>
      </c>
      <c r="F11" s="211">
        <f t="shared" si="0"/>
        <v>22.298000000000002</v>
      </c>
      <c r="G11" s="209">
        <v>5</v>
      </c>
      <c r="H11" s="209">
        <f t="shared" si="1"/>
        <v>4</v>
      </c>
      <c r="I11" s="391">
        <f t="shared" si="2"/>
        <v>1.7999999999999999E-2</v>
      </c>
      <c r="J11" s="621">
        <v>346</v>
      </c>
      <c r="K11" s="208">
        <f t="shared" si="3"/>
        <v>1384</v>
      </c>
    </row>
    <row r="12" spans="1:13" s="18" customFormat="1" ht="12.75" customHeight="1" x14ac:dyDescent="0.2">
      <c r="A12" s="205" t="str">
        <f>ТКО!A13</f>
        <v>Гимназия № 16 структурное подразделение</v>
      </c>
      <c r="B12" s="215">
        <f>ТКО!B13</f>
        <v>456</v>
      </c>
      <c r="C12" s="208">
        <f>'Исходные данные'!D11</f>
        <v>3594.8</v>
      </c>
      <c r="D12" s="210">
        <v>2</v>
      </c>
      <c r="E12" s="210">
        <v>200</v>
      </c>
      <c r="F12" s="211">
        <f t="shared" si="0"/>
        <v>35.948</v>
      </c>
      <c r="G12" s="209">
        <v>5</v>
      </c>
      <c r="H12" s="209">
        <f t="shared" si="1"/>
        <v>7</v>
      </c>
      <c r="I12" s="391">
        <f t="shared" si="2"/>
        <v>1.4999999999999999E-2</v>
      </c>
      <c r="J12" s="621">
        <v>346</v>
      </c>
      <c r="K12" s="208">
        <f>J12*H12</f>
        <v>2422</v>
      </c>
      <c r="M12" s="18" t="s">
        <v>481</v>
      </c>
    </row>
    <row r="13" spans="1:13" s="18" customFormat="1" ht="27.75" customHeight="1" thickBot="1" x14ac:dyDescent="0.25">
      <c r="A13" s="205" t="str">
        <f>ТКО!A14</f>
        <v>МАОУ ООШ № 17 с кадетскими классами структурное подразделение</v>
      </c>
      <c r="B13" s="215">
        <f>ТКО!B14</f>
        <v>189</v>
      </c>
      <c r="C13" s="208">
        <f>'Исходные данные'!D12</f>
        <v>1164.4000000000001</v>
      </c>
      <c r="D13" s="210">
        <v>2</v>
      </c>
      <c r="E13" s="210">
        <v>200</v>
      </c>
      <c r="F13" s="211">
        <f t="shared" si="0"/>
        <v>11.644</v>
      </c>
      <c r="G13" s="209">
        <v>5</v>
      </c>
      <c r="H13" s="209">
        <f t="shared" si="1"/>
        <v>2</v>
      </c>
      <c r="I13" s="391">
        <f t="shared" si="2"/>
        <v>1.0999999999999999E-2</v>
      </c>
      <c r="J13" s="621">
        <v>346</v>
      </c>
      <c r="K13" s="208">
        <f t="shared" si="3"/>
        <v>692</v>
      </c>
    </row>
    <row r="14" spans="1:13" ht="13.5" thickBot="1" x14ac:dyDescent="0.25">
      <c r="A14" s="21" t="s">
        <v>1</v>
      </c>
      <c r="B14" s="296">
        <f>SUM(B5:B13)</f>
        <v>3498</v>
      </c>
      <c r="C14" s="22">
        <f>SUM(C5:C13)</f>
        <v>29325.7</v>
      </c>
      <c r="D14" s="22">
        <f>SUM(D5:D13)</f>
        <v>18</v>
      </c>
      <c r="E14" s="23"/>
      <c r="F14" s="24">
        <f>SUM(F5:F13)</f>
        <v>293.25700000000001</v>
      </c>
      <c r="G14" s="24"/>
      <c r="H14" s="24">
        <f>SUM(H5:H13)</f>
        <v>58</v>
      </c>
      <c r="I14" s="392">
        <f>ROUND(MEDIAN(I5:I13),3)</f>
        <v>1.6E-2</v>
      </c>
      <c r="J14" s="24">
        <f>ROUND(AVERAGE(J5:J13),2)</f>
        <v>346</v>
      </c>
      <c r="K14" s="148">
        <f>SUM(K5:K13)</f>
        <v>20068</v>
      </c>
    </row>
    <row r="15" spans="1:13" s="76" customFormat="1" ht="15" x14ac:dyDescent="0.25">
      <c r="I15" s="138" t="s">
        <v>240</v>
      </c>
      <c r="J15" s="140"/>
      <c r="K15" s="141">
        <f>ROUND(I14*J14,2)</f>
        <v>5.54</v>
      </c>
    </row>
    <row r="16" spans="1:13" s="76" customFormat="1" ht="15" x14ac:dyDescent="0.25"/>
    <row r="18" spans="1:8" ht="16.5" customHeight="1" x14ac:dyDescent="0.25">
      <c r="A18" s="1083" t="s">
        <v>41</v>
      </c>
      <c r="B18" s="1083"/>
      <c r="C18" s="1083"/>
      <c r="D18" s="1083"/>
      <c r="E18" s="1083"/>
      <c r="F18" s="25"/>
      <c r="G18" s="25"/>
      <c r="H18" s="25"/>
    </row>
    <row r="20" spans="1:8" ht="37.5" customHeight="1" x14ac:dyDescent="0.2">
      <c r="A20" s="1082" t="s">
        <v>37</v>
      </c>
      <c r="B20" s="1082"/>
      <c r="C20" s="1082"/>
      <c r="D20" s="1082"/>
      <c r="E20" s="88"/>
      <c r="F20" s="88"/>
    </row>
    <row r="21" spans="1:8" ht="46.5" customHeight="1" x14ac:dyDescent="0.2">
      <c r="A21" s="207" t="s">
        <v>42</v>
      </c>
      <c r="B21" s="212" t="s">
        <v>43</v>
      </c>
      <c r="C21" s="212" t="s">
        <v>44</v>
      </c>
      <c r="D21" s="534" t="s">
        <v>372</v>
      </c>
      <c r="E21" s="29"/>
    </row>
    <row r="22" spans="1:8" x14ac:dyDescent="0.2">
      <c r="A22" s="26">
        <v>2</v>
      </c>
      <c r="B22" s="26">
        <v>200</v>
      </c>
      <c r="C22" s="26">
        <v>5</v>
      </c>
      <c r="D22" s="26">
        <v>346</v>
      </c>
    </row>
    <row r="25" spans="1:8" ht="15" x14ac:dyDescent="0.25">
      <c r="A25" s="642"/>
    </row>
    <row r="26" spans="1:8" ht="15" x14ac:dyDescent="0.25">
      <c r="A26" s="642"/>
    </row>
    <row r="27" spans="1:8" ht="15" x14ac:dyDescent="0.25">
      <c r="A27" s="642"/>
    </row>
  </sheetData>
  <mergeCells count="11">
    <mergeCell ref="A20:D20"/>
    <mergeCell ref="A18:E18"/>
    <mergeCell ref="J3:J4"/>
    <mergeCell ref="K3:K4"/>
    <mergeCell ref="H3:H4"/>
    <mergeCell ref="G3:G4"/>
    <mergeCell ref="A3:A4"/>
    <mergeCell ref="C3:C4"/>
    <mergeCell ref="D3:F3"/>
    <mergeCell ref="B3:B4"/>
    <mergeCell ref="I3:I4"/>
  </mergeCells>
  <pageMargins left="0.75" right="0.75" top="1" bottom="1" header="0.5" footer="0.5"/>
  <pageSetup paperSize="9" scale="72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9"/>
  <sheetViews>
    <sheetView zoomScale="110" zoomScaleNormal="110" workbookViewId="0">
      <selection activeCell="I22" sqref="I22"/>
    </sheetView>
  </sheetViews>
  <sheetFormatPr defaultRowHeight="15" x14ac:dyDescent="0.25"/>
  <cols>
    <col min="1" max="1" width="43" style="61" customWidth="1"/>
    <col min="2" max="2" width="12.7109375" style="61" customWidth="1"/>
    <col min="3" max="4" width="13.42578125" style="61" customWidth="1"/>
    <col min="5" max="5" width="13.28515625" style="61" customWidth="1"/>
    <col min="6" max="6" width="11.140625" style="61" customWidth="1"/>
    <col min="7" max="8" width="13.28515625" style="61" customWidth="1"/>
    <col min="9" max="9" width="1.5703125" style="755" customWidth="1"/>
    <col min="10" max="260" width="9.140625" style="61"/>
    <col min="261" max="261" width="19.140625" style="61" customWidth="1"/>
    <col min="262" max="262" width="14.7109375" style="61" customWidth="1"/>
    <col min="263" max="263" width="13.28515625" style="61" customWidth="1"/>
    <col min="264" max="264" width="9.85546875" style="61" customWidth="1"/>
    <col min="265" max="265" width="13.28515625" style="61" customWidth="1"/>
    <col min="266" max="516" width="9.140625" style="61"/>
    <col min="517" max="517" width="19.140625" style="61" customWidth="1"/>
    <col min="518" max="518" width="14.7109375" style="61" customWidth="1"/>
    <col min="519" max="519" width="13.28515625" style="61" customWidth="1"/>
    <col min="520" max="520" width="9.85546875" style="61" customWidth="1"/>
    <col min="521" max="521" width="13.28515625" style="61" customWidth="1"/>
    <col min="522" max="772" width="9.140625" style="61"/>
    <col min="773" max="773" width="19.140625" style="61" customWidth="1"/>
    <col min="774" max="774" width="14.7109375" style="61" customWidth="1"/>
    <col min="775" max="775" width="13.28515625" style="61" customWidth="1"/>
    <col min="776" max="776" width="9.85546875" style="61" customWidth="1"/>
    <col min="777" max="777" width="13.28515625" style="61" customWidth="1"/>
    <col min="778" max="1028" width="9.140625" style="61"/>
    <col min="1029" max="1029" width="19.140625" style="61" customWidth="1"/>
    <col min="1030" max="1030" width="14.7109375" style="61" customWidth="1"/>
    <col min="1031" max="1031" width="13.28515625" style="61" customWidth="1"/>
    <col min="1032" max="1032" width="9.85546875" style="61" customWidth="1"/>
    <col min="1033" max="1033" width="13.28515625" style="61" customWidth="1"/>
    <col min="1034" max="1284" width="9.140625" style="61"/>
    <col min="1285" max="1285" width="19.140625" style="61" customWidth="1"/>
    <col min="1286" max="1286" width="14.7109375" style="61" customWidth="1"/>
    <col min="1287" max="1287" width="13.28515625" style="61" customWidth="1"/>
    <col min="1288" max="1288" width="9.85546875" style="61" customWidth="1"/>
    <col min="1289" max="1289" width="13.28515625" style="61" customWidth="1"/>
    <col min="1290" max="1540" width="9.140625" style="61"/>
    <col min="1541" max="1541" width="19.140625" style="61" customWidth="1"/>
    <col min="1542" max="1542" width="14.7109375" style="61" customWidth="1"/>
    <col min="1543" max="1543" width="13.28515625" style="61" customWidth="1"/>
    <col min="1544" max="1544" width="9.85546875" style="61" customWidth="1"/>
    <col min="1545" max="1545" width="13.28515625" style="61" customWidth="1"/>
    <col min="1546" max="1796" width="9.140625" style="61"/>
    <col min="1797" max="1797" width="19.140625" style="61" customWidth="1"/>
    <col min="1798" max="1798" width="14.7109375" style="61" customWidth="1"/>
    <col min="1799" max="1799" width="13.28515625" style="61" customWidth="1"/>
    <col min="1800" max="1800" width="9.85546875" style="61" customWidth="1"/>
    <col min="1801" max="1801" width="13.28515625" style="61" customWidth="1"/>
    <col min="1802" max="2052" width="9.140625" style="61"/>
    <col min="2053" max="2053" width="19.140625" style="61" customWidth="1"/>
    <col min="2054" max="2054" width="14.7109375" style="61" customWidth="1"/>
    <col min="2055" max="2055" width="13.28515625" style="61" customWidth="1"/>
    <col min="2056" max="2056" width="9.85546875" style="61" customWidth="1"/>
    <col min="2057" max="2057" width="13.28515625" style="61" customWidth="1"/>
    <col min="2058" max="2308" width="9.140625" style="61"/>
    <col min="2309" max="2309" width="19.140625" style="61" customWidth="1"/>
    <col min="2310" max="2310" width="14.7109375" style="61" customWidth="1"/>
    <col min="2311" max="2311" width="13.28515625" style="61" customWidth="1"/>
    <col min="2312" max="2312" width="9.85546875" style="61" customWidth="1"/>
    <col min="2313" max="2313" width="13.28515625" style="61" customWidth="1"/>
    <col min="2314" max="2564" width="9.140625" style="61"/>
    <col min="2565" max="2565" width="19.140625" style="61" customWidth="1"/>
    <col min="2566" max="2566" width="14.7109375" style="61" customWidth="1"/>
    <col min="2567" max="2567" width="13.28515625" style="61" customWidth="1"/>
    <col min="2568" max="2568" width="9.85546875" style="61" customWidth="1"/>
    <col min="2569" max="2569" width="13.28515625" style="61" customWidth="1"/>
    <col min="2570" max="2820" width="9.140625" style="61"/>
    <col min="2821" max="2821" width="19.140625" style="61" customWidth="1"/>
    <col min="2822" max="2822" width="14.7109375" style="61" customWidth="1"/>
    <col min="2823" max="2823" width="13.28515625" style="61" customWidth="1"/>
    <col min="2824" max="2824" width="9.85546875" style="61" customWidth="1"/>
    <col min="2825" max="2825" width="13.28515625" style="61" customWidth="1"/>
    <col min="2826" max="3076" width="9.140625" style="61"/>
    <col min="3077" max="3077" width="19.140625" style="61" customWidth="1"/>
    <col min="3078" max="3078" width="14.7109375" style="61" customWidth="1"/>
    <col min="3079" max="3079" width="13.28515625" style="61" customWidth="1"/>
    <col min="3080" max="3080" width="9.85546875" style="61" customWidth="1"/>
    <col min="3081" max="3081" width="13.28515625" style="61" customWidth="1"/>
    <col min="3082" max="3332" width="9.140625" style="61"/>
    <col min="3333" max="3333" width="19.140625" style="61" customWidth="1"/>
    <col min="3334" max="3334" width="14.7109375" style="61" customWidth="1"/>
    <col min="3335" max="3335" width="13.28515625" style="61" customWidth="1"/>
    <col min="3336" max="3336" width="9.85546875" style="61" customWidth="1"/>
    <col min="3337" max="3337" width="13.28515625" style="61" customWidth="1"/>
    <col min="3338" max="3588" width="9.140625" style="61"/>
    <col min="3589" max="3589" width="19.140625" style="61" customWidth="1"/>
    <col min="3590" max="3590" width="14.7109375" style="61" customWidth="1"/>
    <col min="3591" max="3591" width="13.28515625" style="61" customWidth="1"/>
    <col min="3592" max="3592" width="9.85546875" style="61" customWidth="1"/>
    <col min="3593" max="3593" width="13.28515625" style="61" customWidth="1"/>
    <col min="3594" max="3844" width="9.140625" style="61"/>
    <col min="3845" max="3845" width="19.140625" style="61" customWidth="1"/>
    <col min="3846" max="3846" width="14.7109375" style="61" customWidth="1"/>
    <col min="3847" max="3847" width="13.28515625" style="61" customWidth="1"/>
    <col min="3848" max="3848" width="9.85546875" style="61" customWidth="1"/>
    <col min="3849" max="3849" width="13.28515625" style="61" customWidth="1"/>
    <col min="3850" max="4100" width="9.140625" style="61"/>
    <col min="4101" max="4101" width="19.140625" style="61" customWidth="1"/>
    <col min="4102" max="4102" width="14.7109375" style="61" customWidth="1"/>
    <col min="4103" max="4103" width="13.28515625" style="61" customWidth="1"/>
    <col min="4104" max="4104" width="9.85546875" style="61" customWidth="1"/>
    <col min="4105" max="4105" width="13.28515625" style="61" customWidth="1"/>
    <col min="4106" max="4356" width="9.140625" style="61"/>
    <col min="4357" max="4357" width="19.140625" style="61" customWidth="1"/>
    <col min="4358" max="4358" width="14.7109375" style="61" customWidth="1"/>
    <col min="4359" max="4359" width="13.28515625" style="61" customWidth="1"/>
    <col min="4360" max="4360" width="9.85546875" style="61" customWidth="1"/>
    <col min="4361" max="4361" width="13.28515625" style="61" customWidth="1"/>
    <col min="4362" max="4612" width="9.140625" style="61"/>
    <col min="4613" max="4613" width="19.140625" style="61" customWidth="1"/>
    <col min="4614" max="4614" width="14.7109375" style="61" customWidth="1"/>
    <col min="4615" max="4615" width="13.28515625" style="61" customWidth="1"/>
    <col min="4616" max="4616" width="9.85546875" style="61" customWidth="1"/>
    <col min="4617" max="4617" width="13.28515625" style="61" customWidth="1"/>
    <col min="4618" max="4868" width="9.140625" style="61"/>
    <col min="4869" max="4869" width="19.140625" style="61" customWidth="1"/>
    <col min="4870" max="4870" width="14.7109375" style="61" customWidth="1"/>
    <col min="4871" max="4871" width="13.28515625" style="61" customWidth="1"/>
    <col min="4872" max="4872" width="9.85546875" style="61" customWidth="1"/>
    <col min="4873" max="4873" width="13.28515625" style="61" customWidth="1"/>
    <col min="4874" max="5124" width="9.140625" style="61"/>
    <col min="5125" max="5125" width="19.140625" style="61" customWidth="1"/>
    <col min="5126" max="5126" width="14.7109375" style="61" customWidth="1"/>
    <col min="5127" max="5127" width="13.28515625" style="61" customWidth="1"/>
    <col min="5128" max="5128" width="9.85546875" style="61" customWidth="1"/>
    <col min="5129" max="5129" width="13.28515625" style="61" customWidth="1"/>
    <col min="5130" max="5380" width="9.140625" style="61"/>
    <col min="5381" max="5381" width="19.140625" style="61" customWidth="1"/>
    <col min="5382" max="5382" width="14.7109375" style="61" customWidth="1"/>
    <col min="5383" max="5383" width="13.28515625" style="61" customWidth="1"/>
    <col min="5384" max="5384" width="9.85546875" style="61" customWidth="1"/>
    <col min="5385" max="5385" width="13.28515625" style="61" customWidth="1"/>
    <col min="5386" max="5636" width="9.140625" style="61"/>
    <col min="5637" max="5637" width="19.140625" style="61" customWidth="1"/>
    <col min="5638" max="5638" width="14.7109375" style="61" customWidth="1"/>
    <col min="5639" max="5639" width="13.28515625" style="61" customWidth="1"/>
    <col min="5640" max="5640" width="9.85546875" style="61" customWidth="1"/>
    <col min="5641" max="5641" width="13.28515625" style="61" customWidth="1"/>
    <col min="5642" max="5892" width="9.140625" style="61"/>
    <col min="5893" max="5893" width="19.140625" style="61" customWidth="1"/>
    <col min="5894" max="5894" width="14.7109375" style="61" customWidth="1"/>
    <col min="5895" max="5895" width="13.28515625" style="61" customWidth="1"/>
    <col min="5896" max="5896" width="9.85546875" style="61" customWidth="1"/>
    <col min="5897" max="5897" width="13.28515625" style="61" customWidth="1"/>
    <col min="5898" max="6148" width="9.140625" style="61"/>
    <col min="6149" max="6149" width="19.140625" style="61" customWidth="1"/>
    <col min="6150" max="6150" width="14.7109375" style="61" customWidth="1"/>
    <col min="6151" max="6151" width="13.28515625" style="61" customWidth="1"/>
    <col min="6152" max="6152" width="9.85546875" style="61" customWidth="1"/>
    <col min="6153" max="6153" width="13.28515625" style="61" customWidth="1"/>
    <col min="6154" max="6404" width="9.140625" style="61"/>
    <col min="6405" max="6405" width="19.140625" style="61" customWidth="1"/>
    <col min="6406" max="6406" width="14.7109375" style="61" customWidth="1"/>
    <col min="6407" max="6407" width="13.28515625" style="61" customWidth="1"/>
    <col min="6408" max="6408" width="9.85546875" style="61" customWidth="1"/>
    <col min="6409" max="6409" width="13.28515625" style="61" customWidth="1"/>
    <col min="6410" max="6660" width="9.140625" style="61"/>
    <col min="6661" max="6661" width="19.140625" style="61" customWidth="1"/>
    <col min="6662" max="6662" width="14.7109375" style="61" customWidth="1"/>
    <col min="6663" max="6663" width="13.28515625" style="61" customWidth="1"/>
    <col min="6664" max="6664" width="9.85546875" style="61" customWidth="1"/>
    <col min="6665" max="6665" width="13.28515625" style="61" customWidth="1"/>
    <col min="6666" max="6916" width="9.140625" style="61"/>
    <col min="6917" max="6917" width="19.140625" style="61" customWidth="1"/>
    <col min="6918" max="6918" width="14.7109375" style="61" customWidth="1"/>
    <col min="6919" max="6919" width="13.28515625" style="61" customWidth="1"/>
    <col min="6920" max="6920" width="9.85546875" style="61" customWidth="1"/>
    <col min="6921" max="6921" width="13.28515625" style="61" customWidth="1"/>
    <col min="6922" max="7172" width="9.140625" style="61"/>
    <col min="7173" max="7173" width="19.140625" style="61" customWidth="1"/>
    <col min="7174" max="7174" width="14.7109375" style="61" customWidth="1"/>
    <col min="7175" max="7175" width="13.28515625" style="61" customWidth="1"/>
    <col min="7176" max="7176" width="9.85546875" style="61" customWidth="1"/>
    <col min="7177" max="7177" width="13.28515625" style="61" customWidth="1"/>
    <col min="7178" max="7428" width="9.140625" style="61"/>
    <col min="7429" max="7429" width="19.140625" style="61" customWidth="1"/>
    <col min="7430" max="7430" width="14.7109375" style="61" customWidth="1"/>
    <col min="7431" max="7431" width="13.28515625" style="61" customWidth="1"/>
    <col min="7432" max="7432" width="9.85546875" style="61" customWidth="1"/>
    <col min="7433" max="7433" width="13.28515625" style="61" customWidth="1"/>
    <col min="7434" max="7684" width="9.140625" style="61"/>
    <col min="7685" max="7685" width="19.140625" style="61" customWidth="1"/>
    <col min="7686" max="7686" width="14.7109375" style="61" customWidth="1"/>
    <col min="7687" max="7687" width="13.28515625" style="61" customWidth="1"/>
    <col min="7688" max="7688" width="9.85546875" style="61" customWidth="1"/>
    <col min="7689" max="7689" width="13.28515625" style="61" customWidth="1"/>
    <col min="7690" max="7940" width="9.140625" style="61"/>
    <col min="7941" max="7941" width="19.140625" style="61" customWidth="1"/>
    <col min="7942" max="7942" width="14.7109375" style="61" customWidth="1"/>
    <col min="7943" max="7943" width="13.28515625" style="61" customWidth="1"/>
    <col min="7944" max="7944" width="9.85546875" style="61" customWidth="1"/>
    <col min="7945" max="7945" width="13.28515625" style="61" customWidth="1"/>
    <col min="7946" max="8196" width="9.140625" style="61"/>
    <col min="8197" max="8197" width="19.140625" style="61" customWidth="1"/>
    <col min="8198" max="8198" width="14.7109375" style="61" customWidth="1"/>
    <col min="8199" max="8199" width="13.28515625" style="61" customWidth="1"/>
    <col min="8200" max="8200" width="9.85546875" style="61" customWidth="1"/>
    <col min="8201" max="8201" width="13.28515625" style="61" customWidth="1"/>
    <col min="8202" max="8452" width="9.140625" style="61"/>
    <col min="8453" max="8453" width="19.140625" style="61" customWidth="1"/>
    <col min="8454" max="8454" width="14.7109375" style="61" customWidth="1"/>
    <col min="8455" max="8455" width="13.28515625" style="61" customWidth="1"/>
    <col min="8456" max="8456" width="9.85546875" style="61" customWidth="1"/>
    <col min="8457" max="8457" width="13.28515625" style="61" customWidth="1"/>
    <col min="8458" max="8708" width="9.140625" style="61"/>
    <col min="8709" max="8709" width="19.140625" style="61" customWidth="1"/>
    <col min="8710" max="8710" width="14.7109375" style="61" customWidth="1"/>
    <col min="8711" max="8711" width="13.28515625" style="61" customWidth="1"/>
    <col min="8712" max="8712" width="9.85546875" style="61" customWidth="1"/>
    <col min="8713" max="8713" width="13.28515625" style="61" customWidth="1"/>
    <col min="8714" max="8964" width="9.140625" style="61"/>
    <col min="8965" max="8965" width="19.140625" style="61" customWidth="1"/>
    <col min="8966" max="8966" width="14.7109375" style="61" customWidth="1"/>
    <col min="8967" max="8967" width="13.28515625" style="61" customWidth="1"/>
    <col min="8968" max="8968" width="9.85546875" style="61" customWidth="1"/>
    <col min="8969" max="8969" width="13.28515625" style="61" customWidth="1"/>
    <col min="8970" max="9220" width="9.140625" style="61"/>
    <col min="9221" max="9221" width="19.140625" style="61" customWidth="1"/>
    <col min="9222" max="9222" width="14.7109375" style="61" customWidth="1"/>
    <col min="9223" max="9223" width="13.28515625" style="61" customWidth="1"/>
    <col min="9224" max="9224" width="9.85546875" style="61" customWidth="1"/>
    <col min="9225" max="9225" width="13.28515625" style="61" customWidth="1"/>
    <col min="9226" max="9476" width="9.140625" style="61"/>
    <col min="9477" max="9477" width="19.140625" style="61" customWidth="1"/>
    <col min="9478" max="9478" width="14.7109375" style="61" customWidth="1"/>
    <col min="9479" max="9479" width="13.28515625" style="61" customWidth="1"/>
    <col min="9480" max="9480" width="9.85546875" style="61" customWidth="1"/>
    <col min="9481" max="9481" width="13.28515625" style="61" customWidth="1"/>
    <col min="9482" max="9732" width="9.140625" style="61"/>
    <col min="9733" max="9733" width="19.140625" style="61" customWidth="1"/>
    <col min="9734" max="9734" width="14.7109375" style="61" customWidth="1"/>
    <col min="9735" max="9735" width="13.28515625" style="61" customWidth="1"/>
    <col min="9736" max="9736" width="9.85546875" style="61" customWidth="1"/>
    <col min="9737" max="9737" width="13.28515625" style="61" customWidth="1"/>
    <col min="9738" max="9988" width="9.140625" style="61"/>
    <col min="9989" max="9989" width="19.140625" style="61" customWidth="1"/>
    <col min="9990" max="9990" width="14.7109375" style="61" customWidth="1"/>
    <col min="9991" max="9991" width="13.28515625" style="61" customWidth="1"/>
    <col min="9992" max="9992" width="9.85546875" style="61" customWidth="1"/>
    <col min="9993" max="9993" width="13.28515625" style="61" customWidth="1"/>
    <col min="9994" max="10244" width="9.140625" style="61"/>
    <col min="10245" max="10245" width="19.140625" style="61" customWidth="1"/>
    <col min="10246" max="10246" width="14.7109375" style="61" customWidth="1"/>
    <col min="10247" max="10247" width="13.28515625" style="61" customWidth="1"/>
    <col min="10248" max="10248" width="9.85546875" style="61" customWidth="1"/>
    <col min="10249" max="10249" width="13.28515625" style="61" customWidth="1"/>
    <col min="10250" max="10500" width="9.140625" style="61"/>
    <col min="10501" max="10501" width="19.140625" style="61" customWidth="1"/>
    <col min="10502" max="10502" width="14.7109375" style="61" customWidth="1"/>
    <col min="10503" max="10503" width="13.28515625" style="61" customWidth="1"/>
    <col min="10504" max="10504" width="9.85546875" style="61" customWidth="1"/>
    <col min="10505" max="10505" width="13.28515625" style="61" customWidth="1"/>
    <col min="10506" max="10756" width="9.140625" style="61"/>
    <col min="10757" max="10757" width="19.140625" style="61" customWidth="1"/>
    <col min="10758" max="10758" width="14.7109375" style="61" customWidth="1"/>
    <col min="10759" max="10759" width="13.28515625" style="61" customWidth="1"/>
    <col min="10760" max="10760" width="9.85546875" style="61" customWidth="1"/>
    <col min="10761" max="10761" width="13.28515625" style="61" customWidth="1"/>
    <col min="10762" max="11012" width="9.140625" style="61"/>
    <col min="11013" max="11013" width="19.140625" style="61" customWidth="1"/>
    <col min="11014" max="11014" width="14.7109375" style="61" customWidth="1"/>
    <col min="11015" max="11015" width="13.28515625" style="61" customWidth="1"/>
    <col min="11016" max="11016" width="9.85546875" style="61" customWidth="1"/>
    <col min="11017" max="11017" width="13.28515625" style="61" customWidth="1"/>
    <col min="11018" max="11268" width="9.140625" style="61"/>
    <col min="11269" max="11269" width="19.140625" style="61" customWidth="1"/>
    <col min="11270" max="11270" width="14.7109375" style="61" customWidth="1"/>
    <col min="11271" max="11271" width="13.28515625" style="61" customWidth="1"/>
    <col min="11272" max="11272" width="9.85546875" style="61" customWidth="1"/>
    <col min="11273" max="11273" width="13.28515625" style="61" customWidth="1"/>
    <col min="11274" max="11524" width="9.140625" style="61"/>
    <col min="11525" max="11525" width="19.140625" style="61" customWidth="1"/>
    <col min="11526" max="11526" width="14.7109375" style="61" customWidth="1"/>
    <col min="11527" max="11527" width="13.28515625" style="61" customWidth="1"/>
    <col min="11528" max="11528" width="9.85546875" style="61" customWidth="1"/>
    <col min="11529" max="11529" width="13.28515625" style="61" customWidth="1"/>
    <col min="11530" max="11780" width="9.140625" style="61"/>
    <col min="11781" max="11781" width="19.140625" style="61" customWidth="1"/>
    <col min="11782" max="11782" width="14.7109375" style="61" customWidth="1"/>
    <col min="11783" max="11783" width="13.28515625" style="61" customWidth="1"/>
    <col min="11784" max="11784" width="9.85546875" style="61" customWidth="1"/>
    <col min="11785" max="11785" width="13.28515625" style="61" customWidth="1"/>
    <col min="11786" max="12036" width="9.140625" style="61"/>
    <col min="12037" max="12037" width="19.140625" style="61" customWidth="1"/>
    <col min="12038" max="12038" width="14.7109375" style="61" customWidth="1"/>
    <col min="12039" max="12039" width="13.28515625" style="61" customWidth="1"/>
    <col min="12040" max="12040" width="9.85546875" style="61" customWidth="1"/>
    <col min="12041" max="12041" width="13.28515625" style="61" customWidth="1"/>
    <col min="12042" max="12292" width="9.140625" style="61"/>
    <col min="12293" max="12293" width="19.140625" style="61" customWidth="1"/>
    <col min="12294" max="12294" width="14.7109375" style="61" customWidth="1"/>
    <col min="12295" max="12295" width="13.28515625" style="61" customWidth="1"/>
    <col min="12296" max="12296" width="9.85546875" style="61" customWidth="1"/>
    <col min="12297" max="12297" width="13.28515625" style="61" customWidth="1"/>
    <col min="12298" max="12548" width="9.140625" style="61"/>
    <col min="12549" max="12549" width="19.140625" style="61" customWidth="1"/>
    <col min="12550" max="12550" width="14.7109375" style="61" customWidth="1"/>
    <col min="12551" max="12551" width="13.28515625" style="61" customWidth="1"/>
    <col min="12552" max="12552" width="9.85546875" style="61" customWidth="1"/>
    <col min="12553" max="12553" width="13.28515625" style="61" customWidth="1"/>
    <col min="12554" max="12804" width="9.140625" style="61"/>
    <col min="12805" max="12805" width="19.140625" style="61" customWidth="1"/>
    <col min="12806" max="12806" width="14.7109375" style="61" customWidth="1"/>
    <col min="12807" max="12807" width="13.28515625" style="61" customWidth="1"/>
    <col min="12808" max="12808" width="9.85546875" style="61" customWidth="1"/>
    <col min="12809" max="12809" width="13.28515625" style="61" customWidth="1"/>
    <col min="12810" max="13060" width="9.140625" style="61"/>
    <col min="13061" max="13061" width="19.140625" style="61" customWidth="1"/>
    <col min="13062" max="13062" width="14.7109375" style="61" customWidth="1"/>
    <col min="13063" max="13063" width="13.28515625" style="61" customWidth="1"/>
    <col min="13064" max="13064" width="9.85546875" style="61" customWidth="1"/>
    <col min="13065" max="13065" width="13.28515625" style="61" customWidth="1"/>
    <col min="13066" max="13316" width="9.140625" style="61"/>
    <col min="13317" max="13317" width="19.140625" style="61" customWidth="1"/>
    <col min="13318" max="13318" width="14.7109375" style="61" customWidth="1"/>
    <col min="13319" max="13319" width="13.28515625" style="61" customWidth="1"/>
    <col min="13320" max="13320" width="9.85546875" style="61" customWidth="1"/>
    <col min="13321" max="13321" width="13.28515625" style="61" customWidth="1"/>
    <col min="13322" max="13572" width="9.140625" style="61"/>
    <col min="13573" max="13573" width="19.140625" style="61" customWidth="1"/>
    <col min="13574" max="13574" width="14.7109375" style="61" customWidth="1"/>
    <col min="13575" max="13575" width="13.28515625" style="61" customWidth="1"/>
    <col min="13576" max="13576" width="9.85546875" style="61" customWidth="1"/>
    <col min="13577" max="13577" width="13.28515625" style="61" customWidth="1"/>
    <col min="13578" max="13828" width="9.140625" style="61"/>
    <col min="13829" max="13829" width="19.140625" style="61" customWidth="1"/>
    <col min="13830" max="13830" width="14.7109375" style="61" customWidth="1"/>
    <col min="13831" max="13831" width="13.28515625" style="61" customWidth="1"/>
    <col min="13832" max="13832" width="9.85546875" style="61" customWidth="1"/>
    <col min="13833" max="13833" width="13.28515625" style="61" customWidth="1"/>
    <col min="13834" max="14084" width="9.140625" style="61"/>
    <col min="14085" max="14085" width="19.140625" style="61" customWidth="1"/>
    <col min="14086" max="14086" width="14.7109375" style="61" customWidth="1"/>
    <col min="14087" max="14087" width="13.28515625" style="61" customWidth="1"/>
    <col min="14088" max="14088" width="9.85546875" style="61" customWidth="1"/>
    <col min="14089" max="14089" width="13.28515625" style="61" customWidth="1"/>
    <col min="14090" max="14340" width="9.140625" style="61"/>
    <col min="14341" max="14341" width="19.140625" style="61" customWidth="1"/>
    <col min="14342" max="14342" width="14.7109375" style="61" customWidth="1"/>
    <col min="14343" max="14343" width="13.28515625" style="61" customWidth="1"/>
    <col min="14344" max="14344" width="9.85546875" style="61" customWidth="1"/>
    <col min="14345" max="14345" width="13.28515625" style="61" customWidth="1"/>
    <col min="14346" max="14596" width="9.140625" style="61"/>
    <col min="14597" max="14597" width="19.140625" style="61" customWidth="1"/>
    <col min="14598" max="14598" width="14.7109375" style="61" customWidth="1"/>
    <col min="14599" max="14599" width="13.28515625" style="61" customWidth="1"/>
    <col min="14600" max="14600" width="9.85546875" style="61" customWidth="1"/>
    <col min="14601" max="14601" width="13.28515625" style="61" customWidth="1"/>
    <col min="14602" max="14852" width="9.140625" style="61"/>
    <col min="14853" max="14853" width="19.140625" style="61" customWidth="1"/>
    <col min="14854" max="14854" width="14.7109375" style="61" customWidth="1"/>
    <col min="14855" max="14855" width="13.28515625" style="61" customWidth="1"/>
    <col min="14856" max="14856" width="9.85546875" style="61" customWidth="1"/>
    <col min="14857" max="14857" width="13.28515625" style="61" customWidth="1"/>
    <col min="14858" max="15108" width="9.140625" style="61"/>
    <col min="15109" max="15109" width="19.140625" style="61" customWidth="1"/>
    <col min="15110" max="15110" width="14.7109375" style="61" customWidth="1"/>
    <col min="15111" max="15111" width="13.28515625" style="61" customWidth="1"/>
    <col min="15112" max="15112" width="9.85546875" style="61" customWidth="1"/>
    <col min="15113" max="15113" width="13.28515625" style="61" customWidth="1"/>
    <col min="15114" max="15364" width="9.140625" style="61"/>
    <col min="15365" max="15365" width="19.140625" style="61" customWidth="1"/>
    <col min="15366" max="15366" width="14.7109375" style="61" customWidth="1"/>
    <col min="15367" max="15367" width="13.28515625" style="61" customWidth="1"/>
    <col min="15368" max="15368" width="9.85546875" style="61" customWidth="1"/>
    <col min="15369" max="15369" width="13.28515625" style="61" customWidth="1"/>
    <col min="15370" max="15620" width="9.140625" style="61"/>
    <col min="15621" max="15621" width="19.140625" style="61" customWidth="1"/>
    <col min="15622" max="15622" width="14.7109375" style="61" customWidth="1"/>
    <col min="15623" max="15623" width="13.28515625" style="61" customWidth="1"/>
    <col min="15624" max="15624" width="9.85546875" style="61" customWidth="1"/>
    <col min="15625" max="15625" width="13.28515625" style="61" customWidth="1"/>
    <col min="15626" max="15876" width="9.140625" style="61"/>
    <col min="15877" max="15877" width="19.140625" style="61" customWidth="1"/>
    <col min="15878" max="15878" width="14.7109375" style="61" customWidth="1"/>
    <col min="15879" max="15879" width="13.28515625" style="61" customWidth="1"/>
    <col min="15880" max="15880" width="9.85546875" style="61" customWidth="1"/>
    <col min="15881" max="15881" width="13.28515625" style="61" customWidth="1"/>
    <col min="15882" max="16132" width="9.140625" style="61"/>
    <col min="16133" max="16133" width="19.140625" style="61" customWidth="1"/>
    <col min="16134" max="16134" width="14.7109375" style="61" customWidth="1"/>
    <col min="16135" max="16135" width="13.28515625" style="61" customWidth="1"/>
    <col min="16136" max="16136" width="9.85546875" style="61" customWidth="1"/>
    <col min="16137" max="16137" width="13.28515625" style="61" customWidth="1"/>
    <col min="16138" max="16384" width="9.140625" style="61"/>
  </cols>
  <sheetData>
    <row r="1" spans="1:21" x14ac:dyDescent="0.25">
      <c r="A1" s="1092" t="s">
        <v>649</v>
      </c>
      <c r="B1" s="1093"/>
      <c r="C1" s="1093"/>
      <c r="D1" s="1093"/>
      <c r="E1" s="1093"/>
      <c r="F1" s="1093"/>
      <c r="G1" s="1093"/>
      <c r="H1" s="688"/>
      <c r="I1" s="750"/>
    </row>
    <row r="2" spans="1:21" ht="114.75" customHeight="1" x14ac:dyDescent="0.25">
      <c r="A2" s="682" t="s">
        <v>132</v>
      </c>
      <c r="B2" s="682" t="str">
        <f>'Заправка огнетушителей'!B3</f>
        <v xml:space="preserve">Нормативная численность обучающихся </v>
      </c>
      <c r="C2" s="682" t="s">
        <v>328</v>
      </c>
      <c r="D2" s="379" t="s">
        <v>322</v>
      </c>
      <c r="E2" s="682" t="s">
        <v>45</v>
      </c>
      <c r="F2" s="685" t="s">
        <v>2</v>
      </c>
      <c r="G2" s="685" t="s">
        <v>25</v>
      </c>
      <c r="H2" s="685" t="s">
        <v>25</v>
      </c>
      <c r="I2" s="159"/>
    </row>
    <row r="3" spans="1:21" s="710" customFormat="1" x14ac:dyDescent="0.25">
      <c r="A3" s="1094" t="str">
        <f>'Заправка огнетушителей'!A5</f>
        <v>МАДОУ ЦРР-детский сад № 2</v>
      </c>
      <c r="B3" s="1086">
        <f>'Заправка огнетушителей'!B5</f>
        <v>506</v>
      </c>
      <c r="C3" s="715">
        <v>1</v>
      </c>
      <c r="D3" s="1089">
        <f>ROUND((C3+C4+C5+C6)/B3,3)</f>
        <v>8.0000000000000002E-3</v>
      </c>
      <c r="E3" s="195">
        <v>12</v>
      </c>
      <c r="F3" s="195">
        <v>10393.549999999999</v>
      </c>
      <c r="G3" s="195">
        <f>C3*E3*F3</f>
        <v>124722.59999999999</v>
      </c>
      <c r="H3" s="1097">
        <f>G3+G4+G5+G6</f>
        <v>278195.27999999997</v>
      </c>
      <c r="I3" s="747"/>
      <c r="J3" s="710" t="s">
        <v>583</v>
      </c>
      <c r="L3" s="1100" t="s">
        <v>585</v>
      </c>
      <c r="M3" s="1100"/>
      <c r="N3" s="1100"/>
      <c r="O3" s="1100"/>
      <c r="P3" s="1100"/>
      <c r="Q3" s="1100"/>
      <c r="R3" s="1100"/>
      <c r="S3" s="1100"/>
      <c r="T3" s="1100"/>
    </row>
    <row r="4" spans="1:21" s="710" customFormat="1" x14ac:dyDescent="0.25">
      <c r="A4" s="1095"/>
      <c r="B4" s="1087"/>
      <c r="C4" s="715">
        <v>1</v>
      </c>
      <c r="D4" s="1090"/>
      <c r="E4" s="195">
        <v>12</v>
      </c>
      <c r="F4" s="195">
        <v>10393.549999999999</v>
      </c>
      <c r="G4" s="195">
        <f>C4*E4*F4</f>
        <v>124722.59999999999</v>
      </c>
      <c r="H4" s="1098"/>
      <c r="I4" s="748"/>
      <c r="J4" s="710" t="s">
        <v>584</v>
      </c>
      <c r="L4" s="1100"/>
      <c r="M4" s="1100"/>
      <c r="N4" s="1100"/>
      <c r="O4" s="1100"/>
      <c r="P4" s="1100"/>
      <c r="Q4" s="1100"/>
      <c r="R4" s="1100"/>
      <c r="S4" s="1100"/>
      <c r="T4" s="1100"/>
    </row>
    <row r="5" spans="1:21" s="710" customFormat="1" ht="15" customHeight="1" x14ac:dyDescent="0.25">
      <c r="A5" s="1095"/>
      <c r="B5" s="1087"/>
      <c r="C5" s="715">
        <v>1</v>
      </c>
      <c r="D5" s="1090"/>
      <c r="E5" s="195">
        <v>12</v>
      </c>
      <c r="F5" s="195">
        <v>1197.92</v>
      </c>
      <c r="G5" s="195">
        <f t="shared" ref="G5:G26" si="0">C5*E5*F5</f>
        <v>14375.04</v>
      </c>
      <c r="H5" s="1098"/>
      <c r="I5" s="748"/>
      <c r="J5" s="710" t="s">
        <v>588</v>
      </c>
      <c r="L5" s="1102" t="s">
        <v>603</v>
      </c>
      <c r="M5" s="1102"/>
      <c r="N5" s="1102"/>
      <c r="O5" s="1102"/>
      <c r="P5" s="1102"/>
      <c r="Q5" s="1102"/>
      <c r="R5" s="1102"/>
      <c r="S5" s="1102"/>
      <c r="T5" s="1102"/>
      <c r="U5" s="1102"/>
    </row>
    <row r="6" spans="1:21" s="710" customFormat="1" x14ac:dyDescent="0.25">
      <c r="A6" s="1096"/>
      <c r="B6" s="1088"/>
      <c r="C6" s="715">
        <v>1</v>
      </c>
      <c r="D6" s="1091"/>
      <c r="E6" s="195">
        <v>12</v>
      </c>
      <c r="F6" s="195">
        <v>1197.92</v>
      </c>
      <c r="G6" s="195">
        <f t="shared" si="0"/>
        <v>14375.04</v>
      </c>
      <c r="H6" s="1099"/>
      <c r="I6" s="751"/>
      <c r="J6" s="728" t="s">
        <v>589</v>
      </c>
      <c r="L6" s="1102"/>
      <c r="M6" s="1102"/>
      <c r="N6" s="1102"/>
      <c r="O6" s="1102"/>
      <c r="P6" s="1102"/>
      <c r="Q6" s="1102"/>
      <c r="R6" s="1102"/>
      <c r="S6" s="1102"/>
      <c r="T6" s="1102"/>
      <c r="U6" s="1102"/>
    </row>
    <row r="7" spans="1:21" s="663" customFormat="1" ht="12.75" x14ac:dyDescent="0.2">
      <c r="A7" s="1094" t="str">
        <f>'Заправка огнетушителей'!A6</f>
        <v>МАДОУ ЦРР-детский сад № 11</v>
      </c>
      <c r="B7" s="1086">
        <f>'Заправка огнетушителей'!B6</f>
        <v>559</v>
      </c>
      <c r="C7" s="715">
        <v>1</v>
      </c>
      <c r="D7" s="1089">
        <f>ROUND((C7+C8+C9+C10)/B7,3)</f>
        <v>7.0000000000000001E-3</v>
      </c>
      <c r="E7" s="195">
        <v>12</v>
      </c>
      <c r="F7" s="195">
        <v>9873.8700000000008</v>
      </c>
      <c r="G7" s="195">
        <f t="shared" si="0"/>
        <v>118486.44</v>
      </c>
      <c r="H7" s="1060">
        <f>G7+G8+G9+G10</f>
        <v>371746.44</v>
      </c>
      <c r="I7" s="142"/>
      <c r="J7" s="663" t="s">
        <v>590</v>
      </c>
      <c r="L7" s="1101" t="s">
        <v>594</v>
      </c>
      <c r="M7" s="1101"/>
      <c r="N7" s="1101"/>
      <c r="O7" s="1101"/>
      <c r="P7" s="1101"/>
      <c r="Q7" s="1101"/>
      <c r="R7" s="1101"/>
      <c r="S7" s="1101"/>
      <c r="T7" s="1101"/>
    </row>
    <row r="8" spans="1:21" s="663" customFormat="1" ht="12.75" x14ac:dyDescent="0.2">
      <c r="A8" s="1095"/>
      <c r="B8" s="1087"/>
      <c r="C8" s="715">
        <v>1</v>
      </c>
      <c r="D8" s="1090"/>
      <c r="E8" s="195">
        <v>12</v>
      </c>
      <c r="F8" s="195">
        <v>9873.8700000000008</v>
      </c>
      <c r="G8" s="195">
        <f t="shared" si="0"/>
        <v>118486.44</v>
      </c>
      <c r="H8" s="1062"/>
      <c r="I8" s="159"/>
      <c r="J8" s="663" t="s">
        <v>591</v>
      </c>
      <c r="L8" s="1101"/>
      <c r="M8" s="1101"/>
      <c r="N8" s="1101"/>
      <c r="O8" s="1101"/>
      <c r="P8" s="1101"/>
      <c r="Q8" s="1101"/>
      <c r="R8" s="1101"/>
      <c r="S8" s="1101"/>
      <c r="T8" s="1101"/>
    </row>
    <row r="9" spans="1:21" s="663" customFormat="1" ht="12.75" x14ac:dyDescent="0.2">
      <c r="A9" s="1095"/>
      <c r="B9" s="1087"/>
      <c r="C9" s="715">
        <v>1</v>
      </c>
      <c r="D9" s="1090"/>
      <c r="E9" s="195">
        <v>12</v>
      </c>
      <c r="F9" s="195">
        <v>9873.8700000000008</v>
      </c>
      <c r="G9" s="195">
        <f t="shared" si="0"/>
        <v>118486.44</v>
      </c>
      <c r="H9" s="1062"/>
      <c r="I9" s="159"/>
      <c r="J9" s="663" t="s">
        <v>592</v>
      </c>
      <c r="L9" s="1101"/>
      <c r="M9" s="1101"/>
      <c r="N9" s="1101"/>
      <c r="O9" s="1101"/>
      <c r="P9" s="1101"/>
      <c r="Q9" s="1101"/>
      <c r="R9" s="1101"/>
      <c r="S9" s="1101"/>
      <c r="T9" s="1101"/>
    </row>
    <row r="10" spans="1:21" s="663" customFormat="1" ht="12.75" x14ac:dyDescent="0.2">
      <c r="A10" s="1096"/>
      <c r="B10" s="1088"/>
      <c r="C10" s="715">
        <v>1</v>
      </c>
      <c r="D10" s="1091"/>
      <c r="E10" s="195">
        <v>12</v>
      </c>
      <c r="F10" s="195">
        <v>1357.26</v>
      </c>
      <c r="G10" s="195">
        <f t="shared" si="0"/>
        <v>16287.119999999999</v>
      </c>
      <c r="H10" s="1061"/>
      <c r="I10" s="752"/>
      <c r="J10" s="729" t="s">
        <v>593</v>
      </c>
      <c r="L10" s="663" t="s">
        <v>587</v>
      </c>
    </row>
    <row r="11" spans="1:21" s="663" customFormat="1" ht="12.75" x14ac:dyDescent="0.2">
      <c r="A11" s="1094" t="str">
        <f>'Заправка огнетушителей'!A7</f>
        <v>МАДОУ ЦРР-детский сад № 13</v>
      </c>
      <c r="B11" s="1086">
        <f>'Заправка огнетушителей'!B7</f>
        <v>633</v>
      </c>
      <c r="C11" s="712">
        <v>1</v>
      </c>
      <c r="D11" s="1089">
        <f>ROUND((C11+C12+C13+C14+C15)/B11,3)</f>
        <v>8.0000000000000002E-3</v>
      </c>
      <c r="E11" s="195">
        <v>12</v>
      </c>
      <c r="F11" s="195">
        <v>10393.549999999999</v>
      </c>
      <c r="G11" s="195">
        <f t="shared" si="0"/>
        <v>124722.59999999999</v>
      </c>
      <c r="H11" s="1060">
        <f>G11+G12+G13+G14+G15</f>
        <v>553950.96</v>
      </c>
      <c r="I11" s="142"/>
      <c r="J11" s="663" t="s">
        <v>599</v>
      </c>
      <c r="L11" s="663" t="s">
        <v>600</v>
      </c>
    </row>
    <row r="12" spans="1:21" s="663" customFormat="1" ht="12.75" x14ac:dyDescent="0.2">
      <c r="A12" s="1095"/>
      <c r="B12" s="1087"/>
      <c r="C12" s="712">
        <v>1</v>
      </c>
      <c r="D12" s="1090"/>
      <c r="E12" s="195">
        <v>12</v>
      </c>
      <c r="F12" s="195">
        <v>10393.549999999999</v>
      </c>
      <c r="G12" s="195">
        <f t="shared" si="0"/>
        <v>124722.59999999999</v>
      </c>
      <c r="H12" s="1062"/>
      <c r="I12" s="159"/>
      <c r="J12" s="663" t="s">
        <v>601</v>
      </c>
      <c r="L12" s="663" t="s">
        <v>668</v>
      </c>
    </row>
    <row r="13" spans="1:21" s="663" customFormat="1" ht="12.75" x14ac:dyDescent="0.2">
      <c r="A13" s="1095"/>
      <c r="B13" s="1087"/>
      <c r="C13" s="712">
        <v>1</v>
      </c>
      <c r="D13" s="1090"/>
      <c r="E13" s="195">
        <v>12</v>
      </c>
      <c r="F13" s="195">
        <v>10393.549999999999</v>
      </c>
      <c r="G13" s="195">
        <f t="shared" si="0"/>
        <v>124722.59999999999</v>
      </c>
      <c r="H13" s="1062"/>
      <c r="I13" s="159"/>
      <c r="J13" s="663" t="s">
        <v>607</v>
      </c>
      <c r="L13" s="663" t="s">
        <v>608</v>
      </c>
    </row>
    <row r="14" spans="1:21" s="663" customFormat="1" ht="12.75" x14ac:dyDescent="0.2">
      <c r="A14" s="1095"/>
      <c r="B14" s="1087"/>
      <c r="C14" s="712">
        <v>1</v>
      </c>
      <c r="D14" s="1090"/>
      <c r="E14" s="195">
        <v>12</v>
      </c>
      <c r="F14" s="195">
        <v>10393.549999999999</v>
      </c>
      <c r="G14" s="195">
        <f t="shared" si="0"/>
        <v>124722.59999999999</v>
      </c>
      <c r="H14" s="1062"/>
      <c r="I14" s="159"/>
      <c r="J14" s="663" t="s">
        <v>609</v>
      </c>
      <c r="L14" s="663" t="s">
        <v>667</v>
      </c>
    </row>
    <row r="15" spans="1:21" s="663" customFormat="1" ht="12.75" x14ac:dyDescent="0.2">
      <c r="A15" s="1096"/>
      <c r="B15" s="1088"/>
      <c r="C15" s="712">
        <v>1</v>
      </c>
      <c r="D15" s="1091"/>
      <c r="E15" s="195">
        <v>12</v>
      </c>
      <c r="F15" s="195">
        <v>4588.38</v>
      </c>
      <c r="G15" s="195">
        <f t="shared" si="0"/>
        <v>55060.56</v>
      </c>
      <c r="H15" s="1061"/>
      <c r="I15" s="159"/>
      <c r="J15" s="756" t="s">
        <v>611</v>
      </c>
      <c r="L15" s="663" t="s">
        <v>612</v>
      </c>
    </row>
    <row r="16" spans="1:21" s="663" customFormat="1" ht="12.75" x14ac:dyDescent="0.2">
      <c r="A16" s="1094" t="str">
        <f>'Заправка огнетушителей'!A8</f>
        <v>МАОУ СОШ № 1 структурное подразделение</v>
      </c>
      <c r="B16" s="1086">
        <f>'Заправка огнетушителей'!B8</f>
        <v>381</v>
      </c>
      <c r="C16" s="715">
        <v>1</v>
      </c>
      <c r="D16" s="1089">
        <f>ROUND((C16+C17)/B16,3)</f>
        <v>5.0000000000000001E-3</v>
      </c>
      <c r="E16" s="195">
        <v>12</v>
      </c>
      <c r="F16" s="195">
        <v>10393.549999999999</v>
      </c>
      <c r="G16" s="195">
        <f t="shared" si="0"/>
        <v>124722.59999999999</v>
      </c>
      <c r="H16" s="1060">
        <f>G16+G17</f>
        <v>135273.47999999998</v>
      </c>
      <c r="I16" s="142"/>
      <c r="J16" s="663" t="s">
        <v>613</v>
      </c>
      <c r="L16" s="663" t="s">
        <v>614</v>
      </c>
    </row>
    <row r="17" spans="1:23" s="663" customFormat="1" ht="12.75" x14ac:dyDescent="0.2">
      <c r="A17" s="1096"/>
      <c r="B17" s="1088"/>
      <c r="C17" s="715">
        <v>1</v>
      </c>
      <c r="D17" s="1091"/>
      <c r="E17" s="195">
        <v>12</v>
      </c>
      <c r="F17" s="195">
        <v>879.24</v>
      </c>
      <c r="G17" s="195">
        <f t="shared" si="0"/>
        <v>10550.880000000001</v>
      </c>
      <c r="H17" s="1061"/>
      <c r="I17" s="752"/>
      <c r="J17" s="729" t="s">
        <v>616</v>
      </c>
      <c r="L17" s="18" t="s">
        <v>623</v>
      </c>
    </row>
    <row r="18" spans="1:23" s="663" customFormat="1" ht="12.75" customHeight="1" x14ac:dyDescent="0.2">
      <c r="A18" s="1094" t="str">
        <f>'Заправка огнетушителей'!A9</f>
        <v>МАОУ СОШ № 2 им.М.И.Грибушина структурное подразделение</v>
      </c>
      <c r="B18" s="1086">
        <f>'Заправка огнетушителей'!B9</f>
        <v>288</v>
      </c>
      <c r="C18" s="723">
        <v>1</v>
      </c>
      <c r="D18" s="1089">
        <f>ROUND((C18+C19+C20)/B18,3)</f>
        <v>0.01</v>
      </c>
      <c r="E18" s="195">
        <v>12</v>
      </c>
      <c r="F18" s="195">
        <v>1197.92</v>
      </c>
      <c r="G18" s="195">
        <f t="shared" si="0"/>
        <v>14375.04</v>
      </c>
      <c r="H18" s="1060">
        <f>G18+G19+G20</f>
        <v>231954.36</v>
      </c>
      <c r="I18" s="142"/>
      <c r="J18" s="663" t="s">
        <v>630</v>
      </c>
      <c r="L18" s="663" t="s">
        <v>631</v>
      </c>
    </row>
    <row r="19" spans="1:23" s="663" customFormat="1" ht="12.75" customHeight="1" x14ac:dyDescent="0.2">
      <c r="A19" s="1095"/>
      <c r="B19" s="1087"/>
      <c r="C19" s="723">
        <v>1</v>
      </c>
      <c r="D19" s="1090"/>
      <c r="E19" s="195">
        <v>12</v>
      </c>
      <c r="F19" s="195">
        <v>3869.03</v>
      </c>
      <c r="G19" s="195">
        <f t="shared" si="0"/>
        <v>46428.36</v>
      </c>
      <c r="H19" s="1062"/>
      <c r="I19" s="159"/>
      <c r="J19" s="663" t="s">
        <v>632</v>
      </c>
      <c r="L19" s="1101" t="s">
        <v>638</v>
      </c>
      <c r="M19" s="1101"/>
      <c r="N19" s="1101"/>
      <c r="O19" s="1101"/>
      <c r="P19" s="1101"/>
      <c r="Q19" s="1101"/>
      <c r="R19" s="1101"/>
      <c r="S19" s="1101"/>
      <c r="T19" s="1101"/>
      <c r="U19" s="1101"/>
    </row>
    <row r="20" spans="1:23" s="663" customFormat="1" ht="12.75" customHeight="1" x14ac:dyDescent="0.2">
      <c r="A20" s="1096"/>
      <c r="B20" s="1088"/>
      <c r="C20" s="723">
        <v>1</v>
      </c>
      <c r="D20" s="1091"/>
      <c r="E20" s="195">
        <v>12</v>
      </c>
      <c r="F20" s="195">
        <f>10393.55+3869.03</f>
        <v>14262.58</v>
      </c>
      <c r="G20" s="195">
        <f t="shared" si="0"/>
        <v>171150.96</v>
      </c>
      <c r="H20" s="1061"/>
      <c r="I20" s="752"/>
      <c r="J20" s="729" t="s">
        <v>633</v>
      </c>
      <c r="L20" s="1101"/>
      <c r="M20" s="1101"/>
      <c r="N20" s="1101"/>
      <c r="O20" s="1101"/>
      <c r="P20" s="1101"/>
      <c r="Q20" s="1101"/>
      <c r="R20" s="1101"/>
      <c r="S20" s="1101"/>
      <c r="T20" s="1101"/>
      <c r="U20" s="1101"/>
    </row>
    <row r="21" spans="1:23" s="663" customFormat="1" ht="12.75" x14ac:dyDescent="0.2">
      <c r="A21" s="1066" t="str">
        <f>'Заправка огнетушителей'!A10</f>
        <v>МАОУ СОШ № 10 структурное подразделение</v>
      </c>
      <c r="B21" s="1086">
        <f>'Заправка огнетушителей'!B10</f>
        <v>262</v>
      </c>
      <c r="C21" s="715">
        <v>1</v>
      </c>
      <c r="D21" s="1089">
        <f>ROUND((C21+C22)/B21,3)</f>
        <v>8.0000000000000002E-3</v>
      </c>
      <c r="E21" s="195">
        <v>12</v>
      </c>
      <c r="F21" s="195">
        <v>1880.73</v>
      </c>
      <c r="G21" s="195">
        <f t="shared" si="0"/>
        <v>22568.760000000002</v>
      </c>
      <c r="H21" s="1060">
        <f>G21+G22</f>
        <v>45137.520000000004</v>
      </c>
      <c r="I21" s="142"/>
      <c r="J21" s="663" t="s">
        <v>625</v>
      </c>
      <c r="L21" s="1103" t="s">
        <v>627</v>
      </c>
      <c r="M21" s="1103"/>
      <c r="N21" s="1103"/>
      <c r="O21" s="1103"/>
      <c r="P21" s="1103"/>
      <c r="Q21" s="1103"/>
      <c r="R21" s="1103"/>
      <c r="S21" s="1103"/>
      <c r="T21" s="1103"/>
      <c r="U21" s="1103"/>
      <c r="V21" s="1103"/>
      <c r="W21" s="1103"/>
    </row>
    <row r="22" spans="1:23" s="663" customFormat="1" ht="12.75" x14ac:dyDescent="0.2">
      <c r="A22" s="1067"/>
      <c r="B22" s="1088"/>
      <c r="C22" s="715">
        <v>1</v>
      </c>
      <c r="D22" s="1091"/>
      <c r="E22" s="195">
        <v>12</v>
      </c>
      <c r="F22" s="195">
        <v>1880.73</v>
      </c>
      <c r="G22" s="195">
        <f t="shared" si="0"/>
        <v>22568.760000000002</v>
      </c>
      <c r="H22" s="1061"/>
      <c r="I22" s="752"/>
      <c r="J22" s="729" t="s">
        <v>626</v>
      </c>
      <c r="L22" s="1103"/>
      <c r="M22" s="1103"/>
      <c r="N22" s="1103"/>
      <c r="O22" s="1103"/>
      <c r="P22" s="1103"/>
      <c r="Q22" s="1103"/>
      <c r="R22" s="1103"/>
      <c r="S22" s="1103"/>
      <c r="T22" s="1103"/>
      <c r="U22" s="1103"/>
      <c r="V22" s="1103"/>
      <c r="W22" s="1103"/>
    </row>
    <row r="23" spans="1:23" s="663" customFormat="1" ht="12.75" x14ac:dyDescent="0.2">
      <c r="A23" s="674" t="str">
        <f>'Заправка огнетушителей'!A11</f>
        <v>МАОУ СОШ № 13 структурное подразделение</v>
      </c>
      <c r="B23" s="718">
        <f>'Заправка огнетушителей'!B11</f>
        <v>224</v>
      </c>
      <c r="C23" s="715">
        <f>'Исходные данные'!C10</f>
        <v>1</v>
      </c>
      <c r="D23" s="719">
        <f>ROUND(C23/B23,3)</f>
        <v>4.0000000000000001E-3</v>
      </c>
      <c r="E23" s="195">
        <v>12</v>
      </c>
      <c r="F23" s="195">
        <v>1924.63</v>
      </c>
      <c r="G23" s="195">
        <f t="shared" si="0"/>
        <v>23095.56</v>
      </c>
      <c r="H23" s="195">
        <f>G23</f>
        <v>23095.56</v>
      </c>
      <c r="I23" s="753"/>
      <c r="J23" s="730" t="s">
        <v>635</v>
      </c>
      <c r="L23" s="663" t="s">
        <v>634</v>
      </c>
    </row>
    <row r="24" spans="1:23" s="663" customFormat="1" ht="12.75" customHeight="1" x14ac:dyDescent="0.2">
      <c r="A24" s="1094" t="str">
        <f>'Заправка огнетушителей'!A12</f>
        <v>Гимназия № 16 структурное подразделение</v>
      </c>
      <c r="B24" s="1086">
        <f>'Заправка огнетушителей'!B12</f>
        <v>456</v>
      </c>
      <c r="C24" s="715">
        <v>1</v>
      </c>
      <c r="D24" s="1089">
        <f>ROUND((C24+C25+C26)/B24,3)</f>
        <v>7.0000000000000001E-3</v>
      </c>
      <c r="E24" s="195">
        <v>12</v>
      </c>
      <c r="F24" s="195">
        <v>10393.549999999999</v>
      </c>
      <c r="G24" s="195">
        <f t="shared" si="0"/>
        <v>124722.59999999999</v>
      </c>
      <c r="H24" s="1060">
        <f>G24+G25+G26</f>
        <v>420596.16</v>
      </c>
      <c r="I24" s="142"/>
      <c r="J24" s="663" t="s">
        <v>617</v>
      </c>
      <c r="L24" s="1104" t="s">
        <v>620</v>
      </c>
      <c r="M24" s="1104"/>
      <c r="N24" s="1104"/>
      <c r="O24" s="1104"/>
      <c r="P24" s="1104"/>
      <c r="Q24" s="1104"/>
      <c r="R24" s="1104"/>
      <c r="S24" s="1104"/>
      <c r="T24" s="1104"/>
      <c r="U24" s="1104"/>
      <c r="V24" s="1104"/>
      <c r="W24" s="1104"/>
    </row>
    <row r="25" spans="1:23" s="663" customFormat="1" ht="12.75" x14ac:dyDescent="0.2">
      <c r="A25" s="1095"/>
      <c r="B25" s="1087"/>
      <c r="C25" s="715">
        <v>1</v>
      </c>
      <c r="D25" s="1090"/>
      <c r="E25" s="195">
        <v>12</v>
      </c>
      <c r="F25" s="195">
        <f>10393.55+3869.03</f>
        <v>14262.58</v>
      </c>
      <c r="G25" s="195">
        <f t="shared" si="0"/>
        <v>171150.96</v>
      </c>
      <c r="H25" s="1062"/>
      <c r="I25" s="159"/>
      <c r="J25" s="663" t="s">
        <v>619</v>
      </c>
      <c r="L25" s="1104"/>
      <c r="M25" s="1104"/>
      <c r="N25" s="1104"/>
      <c r="O25" s="1104"/>
      <c r="P25" s="1104"/>
      <c r="Q25" s="1104"/>
      <c r="R25" s="1104"/>
      <c r="S25" s="1104"/>
      <c r="T25" s="1104"/>
      <c r="U25" s="1104"/>
      <c r="V25" s="1104"/>
      <c r="W25" s="1104"/>
    </row>
    <row r="26" spans="1:23" s="663" customFormat="1" ht="12.75" x14ac:dyDescent="0.2">
      <c r="A26" s="1096"/>
      <c r="B26" s="1088"/>
      <c r="C26" s="715">
        <v>1</v>
      </c>
      <c r="D26" s="1091"/>
      <c r="E26" s="195">
        <v>12</v>
      </c>
      <c r="F26" s="195">
        <v>10393.549999999999</v>
      </c>
      <c r="G26" s="195">
        <f t="shared" si="0"/>
        <v>124722.59999999999</v>
      </c>
      <c r="H26" s="1061"/>
      <c r="I26" s="752"/>
      <c r="J26" s="729" t="s">
        <v>618</v>
      </c>
      <c r="L26" s="1104"/>
      <c r="M26" s="1104"/>
      <c r="N26" s="1104"/>
      <c r="O26" s="1104"/>
      <c r="P26" s="1104"/>
      <c r="Q26" s="1104"/>
      <c r="R26" s="1104"/>
      <c r="S26" s="1104"/>
      <c r="T26" s="1104"/>
      <c r="U26" s="1104"/>
      <c r="V26" s="1104"/>
      <c r="W26" s="1104"/>
    </row>
    <row r="27" spans="1:23" s="663" customFormat="1" ht="32.25" customHeight="1" thickBot="1" x14ac:dyDescent="0.25">
      <c r="A27" s="674" t="str">
        <f>'Заправка огнетушителей'!A13</f>
        <v>МАОУ ООШ № 17 с кадетскими классами структурное подразделение</v>
      </c>
      <c r="B27" s="724">
        <f>'Заправка огнетушителей'!B13</f>
        <v>189</v>
      </c>
      <c r="C27" s="723">
        <f>'Исходные данные'!C12</f>
        <v>1</v>
      </c>
      <c r="D27" s="725">
        <f>ROUND(C27/B27,3)</f>
        <v>5.0000000000000001E-3</v>
      </c>
      <c r="E27" s="195">
        <v>12</v>
      </c>
      <c r="F27" s="195">
        <v>10393.549999999999</v>
      </c>
      <c r="G27" s="195">
        <f>C27*E27*F27</f>
        <v>124722.59999999999</v>
      </c>
      <c r="H27" s="195">
        <f>G27</f>
        <v>124722.59999999999</v>
      </c>
      <c r="I27" s="142"/>
      <c r="J27" s="663" t="s">
        <v>641</v>
      </c>
      <c r="K27" s="18"/>
      <c r="L27" s="663" t="s">
        <v>642</v>
      </c>
    </row>
    <row r="28" spans="1:23" s="62" customFormat="1" ht="13.5" thickBot="1" x14ac:dyDescent="0.25">
      <c r="A28" s="69" t="s">
        <v>182</v>
      </c>
      <c r="B28" s="296">
        <f>SUM(B3:B27)</f>
        <v>3498</v>
      </c>
      <c r="C28" s="296">
        <f>SUM(C3:C27)</f>
        <v>25</v>
      </c>
      <c r="D28" s="389">
        <f>ROUND(MEDIAN(D3:D27),3)</f>
        <v>7.0000000000000001E-3</v>
      </c>
      <c r="E28" s="70"/>
      <c r="F28" s="22">
        <f>ROUND(AVERAGE(F3:F27),2)</f>
        <v>7282.24</v>
      </c>
      <c r="G28" s="393">
        <f>SUM(G3:G27)</f>
        <v>2184672.3600000003</v>
      </c>
      <c r="H28" s="393">
        <f>SUM(H3:H27)</f>
        <v>2184672.36</v>
      </c>
      <c r="I28" s="749"/>
    </row>
    <row r="29" spans="1:23" s="62" customFormat="1" ht="12.75" x14ac:dyDescent="0.2">
      <c r="E29" s="138" t="s">
        <v>240</v>
      </c>
      <c r="F29" s="140"/>
      <c r="G29" s="141">
        <f>ROUND(D28*F28,2)</f>
        <v>50.98</v>
      </c>
      <c r="I29" s="754"/>
    </row>
  </sheetData>
  <mergeCells count="35">
    <mergeCell ref="L19:U20"/>
    <mergeCell ref="A24:A26"/>
    <mergeCell ref="B24:B26"/>
    <mergeCell ref="D24:D26"/>
    <mergeCell ref="H24:H26"/>
    <mergeCell ref="A21:A22"/>
    <mergeCell ref="B21:B22"/>
    <mergeCell ref="D21:D22"/>
    <mergeCell ref="H21:H22"/>
    <mergeCell ref="L21:W22"/>
    <mergeCell ref="L24:W26"/>
    <mergeCell ref="L3:T4"/>
    <mergeCell ref="L7:T9"/>
    <mergeCell ref="A18:A20"/>
    <mergeCell ref="B18:B20"/>
    <mergeCell ref="D18:D20"/>
    <mergeCell ref="H18:H20"/>
    <mergeCell ref="A11:A15"/>
    <mergeCell ref="B11:B15"/>
    <mergeCell ref="D11:D15"/>
    <mergeCell ref="H11:H15"/>
    <mergeCell ref="A16:A17"/>
    <mergeCell ref="B16:B17"/>
    <mergeCell ref="D16:D17"/>
    <mergeCell ref="H16:H17"/>
    <mergeCell ref="L5:U6"/>
    <mergeCell ref="A7:A10"/>
    <mergeCell ref="B7:B10"/>
    <mergeCell ref="D7:D10"/>
    <mergeCell ref="H7:H10"/>
    <mergeCell ref="A1:G1"/>
    <mergeCell ref="A3:A6"/>
    <mergeCell ref="B3:B6"/>
    <mergeCell ref="D3:D6"/>
    <mergeCell ref="H3:H6"/>
  </mergeCells>
  <pageMargins left="0.70866141732283472" right="0.70866141732283472" top="0.74803149606299213" bottom="0.74803149606299213" header="0.31496062992125984" footer="0.31496062992125984"/>
  <pageSetup paperSize="9" scale="10" orientation="portrait" r:id="rId1"/>
  <colBreaks count="1" manualBreakCount="1">
    <brk id="8" max="28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pageSetUpPr fitToPage="1"/>
  </sheetPr>
  <dimension ref="A1:J29"/>
  <sheetViews>
    <sheetView zoomScale="110" zoomScaleNormal="110" workbookViewId="0">
      <selection activeCell="I22" sqref="I22"/>
    </sheetView>
  </sheetViews>
  <sheetFormatPr defaultRowHeight="15" x14ac:dyDescent="0.25"/>
  <cols>
    <col min="1" max="1" width="43" style="61" customWidth="1"/>
    <col min="2" max="2" width="12.7109375" style="61" customWidth="1"/>
    <col min="3" max="4" width="13.42578125" style="61" customWidth="1"/>
    <col min="5" max="5" width="13.28515625" style="61" customWidth="1"/>
    <col min="6" max="6" width="11.140625" style="61" customWidth="1"/>
    <col min="7" max="8" width="13.28515625" style="61" customWidth="1"/>
    <col min="9" max="259" width="9.140625" style="61"/>
    <col min="260" max="260" width="19.140625" style="61" customWidth="1"/>
    <col min="261" max="261" width="14.7109375" style="61" customWidth="1"/>
    <col min="262" max="262" width="13.28515625" style="61" customWidth="1"/>
    <col min="263" max="263" width="9.85546875" style="61" customWidth="1"/>
    <col min="264" max="264" width="13.28515625" style="61" customWidth="1"/>
    <col min="265" max="515" width="9.140625" style="61"/>
    <col min="516" max="516" width="19.140625" style="61" customWidth="1"/>
    <col min="517" max="517" width="14.7109375" style="61" customWidth="1"/>
    <col min="518" max="518" width="13.28515625" style="61" customWidth="1"/>
    <col min="519" max="519" width="9.85546875" style="61" customWidth="1"/>
    <col min="520" max="520" width="13.28515625" style="61" customWidth="1"/>
    <col min="521" max="771" width="9.140625" style="61"/>
    <col min="772" max="772" width="19.140625" style="61" customWidth="1"/>
    <col min="773" max="773" width="14.7109375" style="61" customWidth="1"/>
    <col min="774" max="774" width="13.28515625" style="61" customWidth="1"/>
    <col min="775" max="775" width="9.85546875" style="61" customWidth="1"/>
    <col min="776" max="776" width="13.28515625" style="61" customWidth="1"/>
    <col min="777" max="1027" width="9.140625" style="61"/>
    <col min="1028" max="1028" width="19.140625" style="61" customWidth="1"/>
    <col min="1029" max="1029" width="14.7109375" style="61" customWidth="1"/>
    <col min="1030" max="1030" width="13.28515625" style="61" customWidth="1"/>
    <col min="1031" max="1031" width="9.85546875" style="61" customWidth="1"/>
    <col min="1032" max="1032" width="13.28515625" style="61" customWidth="1"/>
    <col min="1033" max="1283" width="9.140625" style="61"/>
    <col min="1284" max="1284" width="19.140625" style="61" customWidth="1"/>
    <col min="1285" max="1285" width="14.7109375" style="61" customWidth="1"/>
    <col min="1286" max="1286" width="13.28515625" style="61" customWidth="1"/>
    <col min="1287" max="1287" width="9.85546875" style="61" customWidth="1"/>
    <col min="1288" max="1288" width="13.28515625" style="61" customWidth="1"/>
    <col min="1289" max="1539" width="9.140625" style="61"/>
    <col min="1540" max="1540" width="19.140625" style="61" customWidth="1"/>
    <col min="1541" max="1541" width="14.7109375" style="61" customWidth="1"/>
    <col min="1542" max="1542" width="13.28515625" style="61" customWidth="1"/>
    <col min="1543" max="1543" width="9.85546875" style="61" customWidth="1"/>
    <col min="1544" max="1544" width="13.28515625" style="61" customWidth="1"/>
    <col min="1545" max="1795" width="9.140625" style="61"/>
    <col min="1796" max="1796" width="19.140625" style="61" customWidth="1"/>
    <col min="1797" max="1797" width="14.7109375" style="61" customWidth="1"/>
    <col min="1798" max="1798" width="13.28515625" style="61" customWidth="1"/>
    <col min="1799" max="1799" width="9.85546875" style="61" customWidth="1"/>
    <col min="1800" max="1800" width="13.28515625" style="61" customWidth="1"/>
    <col min="1801" max="2051" width="9.140625" style="61"/>
    <col min="2052" max="2052" width="19.140625" style="61" customWidth="1"/>
    <col min="2053" max="2053" width="14.7109375" style="61" customWidth="1"/>
    <col min="2054" max="2054" width="13.28515625" style="61" customWidth="1"/>
    <col min="2055" max="2055" width="9.85546875" style="61" customWidth="1"/>
    <col min="2056" max="2056" width="13.28515625" style="61" customWidth="1"/>
    <col min="2057" max="2307" width="9.140625" style="61"/>
    <col min="2308" max="2308" width="19.140625" style="61" customWidth="1"/>
    <col min="2309" max="2309" width="14.7109375" style="61" customWidth="1"/>
    <col min="2310" max="2310" width="13.28515625" style="61" customWidth="1"/>
    <col min="2311" max="2311" width="9.85546875" style="61" customWidth="1"/>
    <col min="2312" max="2312" width="13.28515625" style="61" customWidth="1"/>
    <col min="2313" max="2563" width="9.140625" style="61"/>
    <col min="2564" max="2564" width="19.140625" style="61" customWidth="1"/>
    <col min="2565" max="2565" width="14.7109375" style="61" customWidth="1"/>
    <col min="2566" max="2566" width="13.28515625" style="61" customWidth="1"/>
    <col min="2567" max="2567" width="9.85546875" style="61" customWidth="1"/>
    <col min="2568" max="2568" width="13.28515625" style="61" customWidth="1"/>
    <col min="2569" max="2819" width="9.140625" style="61"/>
    <col min="2820" max="2820" width="19.140625" style="61" customWidth="1"/>
    <col min="2821" max="2821" width="14.7109375" style="61" customWidth="1"/>
    <col min="2822" max="2822" width="13.28515625" style="61" customWidth="1"/>
    <col min="2823" max="2823" width="9.85546875" style="61" customWidth="1"/>
    <col min="2824" max="2824" width="13.28515625" style="61" customWidth="1"/>
    <col min="2825" max="3075" width="9.140625" style="61"/>
    <col min="3076" max="3076" width="19.140625" style="61" customWidth="1"/>
    <col min="3077" max="3077" width="14.7109375" style="61" customWidth="1"/>
    <col min="3078" max="3078" width="13.28515625" style="61" customWidth="1"/>
    <col min="3079" max="3079" width="9.85546875" style="61" customWidth="1"/>
    <col min="3080" max="3080" width="13.28515625" style="61" customWidth="1"/>
    <col min="3081" max="3331" width="9.140625" style="61"/>
    <col min="3332" max="3332" width="19.140625" style="61" customWidth="1"/>
    <col min="3333" max="3333" width="14.7109375" style="61" customWidth="1"/>
    <col min="3334" max="3334" width="13.28515625" style="61" customWidth="1"/>
    <col min="3335" max="3335" width="9.85546875" style="61" customWidth="1"/>
    <col min="3336" max="3336" width="13.28515625" style="61" customWidth="1"/>
    <col min="3337" max="3587" width="9.140625" style="61"/>
    <col min="3588" max="3588" width="19.140625" style="61" customWidth="1"/>
    <col min="3589" max="3589" width="14.7109375" style="61" customWidth="1"/>
    <col min="3590" max="3590" width="13.28515625" style="61" customWidth="1"/>
    <col min="3591" max="3591" width="9.85546875" style="61" customWidth="1"/>
    <col min="3592" max="3592" width="13.28515625" style="61" customWidth="1"/>
    <col min="3593" max="3843" width="9.140625" style="61"/>
    <col min="3844" max="3844" width="19.140625" style="61" customWidth="1"/>
    <col min="3845" max="3845" width="14.7109375" style="61" customWidth="1"/>
    <col min="3846" max="3846" width="13.28515625" style="61" customWidth="1"/>
    <col min="3847" max="3847" width="9.85546875" style="61" customWidth="1"/>
    <col min="3848" max="3848" width="13.28515625" style="61" customWidth="1"/>
    <col min="3849" max="4099" width="9.140625" style="61"/>
    <col min="4100" max="4100" width="19.140625" style="61" customWidth="1"/>
    <col min="4101" max="4101" width="14.7109375" style="61" customWidth="1"/>
    <col min="4102" max="4102" width="13.28515625" style="61" customWidth="1"/>
    <col min="4103" max="4103" width="9.85546875" style="61" customWidth="1"/>
    <col min="4104" max="4104" width="13.28515625" style="61" customWidth="1"/>
    <col min="4105" max="4355" width="9.140625" style="61"/>
    <col min="4356" max="4356" width="19.140625" style="61" customWidth="1"/>
    <col min="4357" max="4357" width="14.7109375" style="61" customWidth="1"/>
    <col min="4358" max="4358" width="13.28515625" style="61" customWidth="1"/>
    <col min="4359" max="4359" width="9.85546875" style="61" customWidth="1"/>
    <col min="4360" max="4360" width="13.28515625" style="61" customWidth="1"/>
    <col min="4361" max="4611" width="9.140625" style="61"/>
    <col min="4612" max="4612" width="19.140625" style="61" customWidth="1"/>
    <col min="4613" max="4613" width="14.7109375" style="61" customWidth="1"/>
    <col min="4614" max="4614" width="13.28515625" style="61" customWidth="1"/>
    <col min="4615" max="4615" width="9.85546875" style="61" customWidth="1"/>
    <col min="4616" max="4616" width="13.28515625" style="61" customWidth="1"/>
    <col min="4617" max="4867" width="9.140625" style="61"/>
    <col min="4868" max="4868" width="19.140625" style="61" customWidth="1"/>
    <col min="4869" max="4869" width="14.7109375" style="61" customWidth="1"/>
    <col min="4870" max="4870" width="13.28515625" style="61" customWidth="1"/>
    <col min="4871" max="4871" width="9.85546875" style="61" customWidth="1"/>
    <col min="4872" max="4872" width="13.28515625" style="61" customWidth="1"/>
    <col min="4873" max="5123" width="9.140625" style="61"/>
    <col min="5124" max="5124" width="19.140625" style="61" customWidth="1"/>
    <col min="5125" max="5125" width="14.7109375" style="61" customWidth="1"/>
    <col min="5126" max="5126" width="13.28515625" style="61" customWidth="1"/>
    <col min="5127" max="5127" width="9.85546875" style="61" customWidth="1"/>
    <col min="5128" max="5128" width="13.28515625" style="61" customWidth="1"/>
    <col min="5129" max="5379" width="9.140625" style="61"/>
    <col min="5380" max="5380" width="19.140625" style="61" customWidth="1"/>
    <col min="5381" max="5381" width="14.7109375" style="61" customWidth="1"/>
    <col min="5382" max="5382" width="13.28515625" style="61" customWidth="1"/>
    <col min="5383" max="5383" width="9.85546875" style="61" customWidth="1"/>
    <col min="5384" max="5384" width="13.28515625" style="61" customWidth="1"/>
    <col min="5385" max="5635" width="9.140625" style="61"/>
    <col min="5636" max="5636" width="19.140625" style="61" customWidth="1"/>
    <col min="5637" max="5637" width="14.7109375" style="61" customWidth="1"/>
    <col min="5638" max="5638" width="13.28515625" style="61" customWidth="1"/>
    <col min="5639" max="5639" width="9.85546875" style="61" customWidth="1"/>
    <col min="5640" max="5640" width="13.28515625" style="61" customWidth="1"/>
    <col min="5641" max="5891" width="9.140625" style="61"/>
    <col min="5892" max="5892" width="19.140625" style="61" customWidth="1"/>
    <col min="5893" max="5893" width="14.7109375" style="61" customWidth="1"/>
    <col min="5894" max="5894" width="13.28515625" style="61" customWidth="1"/>
    <col min="5895" max="5895" width="9.85546875" style="61" customWidth="1"/>
    <col min="5896" max="5896" width="13.28515625" style="61" customWidth="1"/>
    <col min="5897" max="6147" width="9.140625" style="61"/>
    <col min="6148" max="6148" width="19.140625" style="61" customWidth="1"/>
    <col min="6149" max="6149" width="14.7109375" style="61" customWidth="1"/>
    <col min="6150" max="6150" width="13.28515625" style="61" customWidth="1"/>
    <col min="6151" max="6151" width="9.85546875" style="61" customWidth="1"/>
    <col min="6152" max="6152" width="13.28515625" style="61" customWidth="1"/>
    <col min="6153" max="6403" width="9.140625" style="61"/>
    <col min="6404" max="6404" width="19.140625" style="61" customWidth="1"/>
    <col min="6405" max="6405" width="14.7109375" style="61" customWidth="1"/>
    <col min="6406" max="6406" width="13.28515625" style="61" customWidth="1"/>
    <col min="6407" max="6407" width="9.85546875" style="61" customWidth="1"/>
    <col min="6408" max="6408" width="13.28515625" style="61" customWidth="1"/>
    <col min="6409" max="6659" width="9.140625" style="61"/>
    <col min="6660" max="6660" width="19.140625" style="61" customWidth="1"/>
    <col min="6661" max="6661" width="14.7109375" style="61" customWidth="1"/>
    <col min="6662" max="6662" width="13.28515625" style="61" customWidth="1"/>
    <col min="6663" max="6663" width="9.85546875" style="61" customWidth="1"/>
    <col min="6664" max="6664" width="13.28515625" style="61" customWidth="1"/>
    <col min="6665" max="6915" width="9.140625" style="61"/>
    <col min="6916" max="6916" width="19.140625" style="61" customWidth="1"/>
    <col min="6917" max="6917" width="14.7109375" style="61" customWidth="1"/>
    <col min="6918" max="6918" width="13.28515625" style="61" customWidth="1"/>
    <col min="6919" max="6919" width="9.85546875" style="61" customWidth="1"/>
    <col min="6920" max="6920" width="13.28515625" style="61" customWidth="1"/>
    <col min="6921" max="7171" width="9.140625" style="61"/>
    <col min="7172" max="7172" width="19.140625" style="61" customWidth="1"/>
    <col min="7173" max="7173" width="14.7109375" style="61" customWidth="1"/>
    <col min="7174" max="7174" width="13.28515625" style="61" customWidth="1"/>
    <col min="7175" max="7175" width="9.85546875" style="61" customWidth="1"/>
    <col min="7176" max="7176" width="13.28515625" style="61" customWidth="1"/>
    <col min="7177" max="7427" width="9.140625" style="61"/>
    <col min="7428" max="7428" width="19.140625" style="61" customWidth="1"/>
    <col min="7429" max="7429" width="14.7109375" style="61" customWidth="1"/>
    <col min="7430" max="7430" width="13.28515625" style="61" customWidth="1"/>
    <col min="7431" max="7431" width="9.85546875" style="61" customWidth="1"/>
    <col min="7432" max="7432" width="13.28515625" style="61" customWidth="1"/>
    <col min="7433" max="7683" width="9.140625" style="61"/>
    <col min="7684" max="7684" width="19.140625" style="61" customWidth="1"/>
    <col min="7685" max="7685" width="14.7109375" style="61" customWidth="1"/>
    <col min="7686" max="7686" width="13.28515625" style="61" customWidth="1"/>
    <col min="7687" max="7687" width="9.85546875" style="61" customWidth="1"/>
    <col min="7688" max="7688" width="13.28515625" style="61" customWidth="1"/>
    <col min="7689" max="7939" width="9.140625" style="61"/>
    <col min="7940" max="7940" width="19.140625" style="61" customWidth="1"/>
    <col min="7941" max="7941" width="14.7109375" style="61" customWidth="1"/>
    <col min="7942" max="7942" width="13.28515625" style="61" customWidth="1"/>
    <col min="7943" max="7943" width="9.85546875" style="61" customWidth="1"/>
    <col min="7944" max="7944" width="13.28515625" style="61" customWidth="1"/>
    <col min="7945" max="8195" width="9.140625" style="61"/>
    <col min="8196" max="8196" width="19.140625" style="61" customWidth="1"/>
    <col min="8197" max="8197" width="14.7109375" style="61" customWidth="1"/>
    <col min="8198" max="8198" width="13.28515625" style="61" customWidth="1"/>
    <col min="8199" max="8199" width="9.85546875" style="61" customWidth="1"/>
    <col min="8200" max="8200" width="13.28515625" style="61" customWidth="1"/>
    <col min="8201" max="8451" width="9.140625" style="61"/>
    <col min="8452" max="8452" width="19.140625" style="61" customWidth="1"/>
    <col min="8453" max="8453" width="14.7109375" style="61" customWidth="1"/>
    <col min="8454" max="8454" width="13.28515625" style="61" customWidth="1"/>
    <col min="8455" max="8455" width="9.85546875" style="61" customWidth="1"/>
    <col min="8456" max="8456" width="13.28515625" style="61" customWidth="1"/>
    <col min="8457" max="8707" width="9.140625" style="61"/>
    <col min="8708" max="8708" width="19.140625" style="61" customWidth="1"/>
    <col min="8709" max="8709" width="14.7109375" style="61" customWidth="1"/>
    <col min="8710" max="8710" width="13.28515625" style="61" customWidth="1"/>
    <col min="8711" max="8711" width="9.85546875" style="61" customWidth="1"/>
    <col min="8712" max="8712" width="13.28515625" style="61" customWidth="1"/>
    <col min="8713" max="8963" width="9.140625" style="61"/>
    <col min="8964" max="8964" width="19.140625" style="61" customWidth="1"/>
    <col min="8965" max="8965" width="14.7109375" style="61" customWidth="1"/>
    <col min="8966" max="8966" width="13.28515625" style="61" customWidth="1"/>
    <col min="8967" max="8967" width="9.85546875" style="61" customWidth="1"/>
    <col min="8968" max="8968" width="13.28515625" style="61" customWidth="1"/>
    <col min="8969" max="9219" width="9.140625" style="61"/>
    <col min="9220" max="9220" width="19.140625" style="61" customWidth="1"/>
    <col min="9221" max="9221" width="14.7109375" style="61" customWidth="1"/>
    <col min="9222" max="9222" width="13.28515625" style="61" customWidth="1"/>
    <col min="9223" max="9223" width="9.85546875" style="61" customWidth="1"/>
    <col min="9224" max="9224" width="13.28515625" style="61" customWidth="1"/>
    <col min="9225" max="9475" width="9.140625" style="61"/>
    <col min="9476" max="9476" width="19.140625" style="61" customWidth="1"/>
    <col min="9477" max="9477" width="14.7109375" style="61" customWidth="1"/>
    <col min="9478" max="9478" width="13.28515625" style="61" customWidth="1"/>
    <col min="9479" max="9479" width="9.85546875" style="61" customWidth="1"/>
    <col min="9480" max="9480" width="13.28515625" style="61" customWidth="1"/>
    <col min="9481" max="9731" width="9.140625" style="61"/>
    <col min="9732" max="9732" width="19.140625" style="61" customWidth="1"/>
    <col min="9733" max="9733" width="14.7109375" style="61" customWidth="1"/>
    <col min="9734" max="9734" width="13.28515625" style="61" customWidth="1"/>
    <col min="9735" max="9735" width="9.85546875" style="61" customWidth="1"/>
    <col min="9736" max="9736" width="13.28515625" style="61" customWidth="1"/>
    <col min="9737" max="9987" width="9.140625" style="61"/>
    <col min="9988" max="9988" width="19.140625" style="61" customWidth="1"/>
    <col min="9989" max="9989" width="14.7109375" style="61" customWidth="1"/>
    <col min="9990" max="9990" width="13.28515625" style="61" customWidth="1"/>
    <col min="9991" max="9991" width="9.85546875" style="61" customWidth="1"/>
    <col min="9992" max="9992" width="13.28515625" style="61" customWidth="1"/>
    <col min="9993" max="10243" width="9.140625" style="61"/>
    <col min="10244" max="10244" width="19.140625" style="61" customWidth="1"/>
    <col min="10245" max="10245" width="14.7109375" style="61" customWidth="1"/>
    <col min="10246" max="10246" width="13.28515625" style="61" customWidth="1"/>
    <col min="10247" max="10247" width="9.85546875" style="61" customWidth="1"/>
    <col min="10248" max="10248" width="13.28515625" style="61" customWidth="1"/>
    <col min="10249" max="10499" width="9.140625" style="61"/>
    <col min="10500" max="10500" width="19.140625" style="61" customWidth="1"/>
    <col min="10501" max="10501" width="14.7109375" style="61" customWidth="1"/>
    <col min="10502" max="10502" width="13.28515625" style="61" customWidth="1"/>
    <col min="10503" max="10503" width="9.85546875" style="61" customWidth="1"/>
    <col min="10504" max="10504" width="13.28515625" style="61" customWidth="1"/>
    <col min="10505" max="10755" width="9.140625" style="61"/>
    <col min="10756" max="10756" width="19.140625" style="61" customWidth="1"/>
    <col min="10757" max="10757" width="14.7109375" style="61" customWidth="1"/>
    <col min="10758" max="10758" width="13.28515625" style="61" customWidth="1"/>
    <col min="10759" max="10759" width="9.85546875" style="61" customWidth="1"/>
    <col min="10760" max="10760" width="13.28515625" style="61" customWidth="1"/>
    <col min="10761" max="11011" width="9.140625" style="61"/>
    <col min="11012" max="11012" width="19.140625" style="61" customWidth="1"/>
    <col min="11013" max="11013" width="14.7109375" style="61" customWidth="1"/>
    <col min="11014" max="11014" width="13.28515625" style="61" customWidth="1"/>
    <col min="11015" max="11015" width="9.85546875" style="61" customWidth="1"/>
    <col min="11016" max="11016" width="13.28515625" style="61" customWidth="1"/>
    <col min="11017" max="11267" width="9.140625" style="61"/>
    <col min="11268" max="11268" width="19.140625" style="61" customWidth="1"/>
    <col min="11269" max="11269" width="14.7109375" style="61" customWidth="1"/>
    <col min="11270" max="11270" width="13.28515625" style="61" customWidth="1"/>
    <col min="11271" max="11271" width="9.85546875" style="61" customWidth="1"/>
    <col min="11272" max="11272" width="13.28515625" style="61" customWidth="1"/>
    <col min="11273" max="11523" width="9.140625" style="61"/>
    <col min="11524" max="11524" width="19.140625" style="61" customWidth="1"/>
    <col min="11525" max="11525" width="14.7109375" style="61" customWidth="1"/>
    <col min="11526" max="11526" width="13.28515625" style="61" customWidth="1"/>
    <col min="11527" max="11527" width="9.85546875" style="61" customWidth="1"/>
    <col min="11528" max="11528" width="13.28515625" style="61" customWidth="1"/>
    <col min="11529" max="11779" width="9.140625" style="61"/>
    <col min="11780" max="11780" width="19.140625" style="61" customWidth="1"/>
    <col min="11781" max="11781" width="14.7109375" style="61" customWidth="1"/>
    <col min="11782" max="11782" width="13.28515625" style="61" customWidth="1"/>
    <col min="11783" max="11783" width="9.85546875" style="61" customWidth="1"/>
    <col min="11784" max="11784" width="13.28515625" style="61" customWidth="1"/>
    <col min="11785" max="12035" width="9.140625" style="61"/>
    <col min="12036" max="12036" width="19.140625" style="61" customWidth="1"/>
    <col min="12037" max="12037" width="14.7109375" style="61" customWidth="1"/>
    <col min="12038" max="12038" width="13.28515625" style="61" customWidth="1"/>
    <col min="12039" max="12039" width="9.85546875" style="61" customWidth="1"/>
    <col min="12040" max="12040" width="13.28515625" style="61" customWidth="1"/>
    <col min="12041" max="12291" width="9.140625" style="61"/>
    <col min="12292" max="12292" width="19.140625" style="61" customWidth="1"/>
    <col min="12293" max="12293" width="14.7109375" style="61" customWidth="1"/>
    <col min="12294" max="12294" width="13.28515625" style="61" customWidth="1"/>
    <col min="12295" max="12295" width="9.85546875" style="61" customWidth="1"/>
    <col min="12296" max="12296" width="13.28515625" style="61" customWidth="1"/>
    <col min="12297" max="12547" width="9.140625" style="61"/>
    <col min="12548" max="12548" width="19.140625" style="61" customWidth="1"/>
    <col min="12549" max="12549" width="14.7109375" style="61" customWidth="1"/>
    <col min="12550" max="12550" width="13.28515625" style="61" customWidth="1"/>
    <col min="12551" max="12551" width="9.85546875" style="61" customWidth="1"/>
    <col min="12552" max="12552" width="13.28515625" style="61" customWidth="1"/>
    <col min="12553" max="12803" width="9.140625" style="61"/>
    <col min="12804" max="12804" width="19.140625" style="61" customWidth="1"/>
    <col min="12805" max="12805" width="14.7109375" style="61" customWidth="1"/>
    <col min="12806" max="12806" width="13.28515625" style="61" customWidth="1"/>
    <col min="12807" max="12807" width="9.85546875" style="61" customWidth="1"/>
    <col min="12808" max="12808" width="13.28515625" style="61" customWidth="1"/>
    <col min="12809" max="13059" width="9.140625" style="61"/>
    <col min="13060" max="13060" width="19.140625" style="61" customWidth="1"/>
    <col min="13061" max="13061" width="14.7109375" style="61" customWidth="1"/>
    <col min="13062" max="13062" width="13.28515625" style="61" customWidth="1"/>
    <col min="13063" max="13063" width="9.85546875" style="61" customWidth="1"/>
    <col min="13064" max="13064" width="13.28515625" style="61" customWidth="1"/>
    <col min="13065" max="13315" width="9.140625" style="61"/>
    <col min="13316" max="13316" width="19.140625" style="61" customWidth="1"/>
    <col min="13317" max="13317" width="14.7109375" style="61" customWidth="1"/>
    <col min="13318" max="13318" width="13.28515625" style="61" customWidth="1"/>
    <col min="13319" max="13319" width="9.85546875" style="61" customWidth="1"/>
    <col min="13320" max="13320" width="13.28515625" style="61" customWidth="1"/>
    <col min="13321" max="13571" width="9.140625" style="61"/>
    <col min="13572" max="13572" width="19.140625" style="61" customWidth="1"/>
    <col min="13573" max="13573" width="14.7109375" style="61" customWidth="1"/>
    <col min="13574" max="13574" width="13.28515625" style="61" customWidth="1"/>
    <col min="13575" max="13575" width="9.85546875" style="61" customWidth="1"/>
    <col min="13576" max="13576" width="13.28515625" style="61" customWidth="1"/>
    <col min="13577" max="13827" width="9.140625" style="61"/>
    <col min="13828" max="13828" width="19.140625" style="61" customWidth="1"/>
    <col min="13829" max="13829" width="14.7109375" style="61" customWidth="1"/>
    <col min="13830" max="13830" width="13.28515625" style="61" customWidth="1"/>
    <col min="13831" max="13831" width="9.85546875" style="61" customWidth="1"/>
    <col min="13832" max="13832" width="13.28515625" style="61" customWidth="1"/>
    <col min="13833" max="14083" width="9.140625" style="61"/>
    <col min="14084" max="14084" width="19.140625" style="61" customWidth="1"/>
    <col min="14085" max="14085" width="14.7109375" style="61" customWidth="1"/>
    <col min="14086" max="14086" width="13.28515625" style="61" customWidth="1"/>
    <col min="14087" max="14087" width="9.85546875" style="61" customWidth="1"/>
    <col min="14088" max="14088" width="13.28515625" style="61" customWidth="1"/>
    <col min="14089" max="14339" width="9.140625" style="61"/>
    <col min="14340" max="14340" width="19.140625" style="61" customWidth="1"/>
    <col min="14341" max="14341" width="14.7109375" style="61" customWidth="1"/>
    <col min="14342" max="14342" width="13.28515625" style="61" customWidth="1"/>
    <col min="14343" max="14343" width="9.85546875" style="61" customWidth="1"/>
    <col min="14344" max="14344" width="13.28515625" style="61" customWidth="1"/>
    <col min="14345" max="14595" width="9.140625" style="61"/>
    <col min="14596" max="14596" width="19.140625" style="61" customWidth="1"/>
    <col min="14597" max="14597" width="14.7109375" style="61" customWidth="1"/>
    <col min="14598" max="14598" width="13.28515625" style="61" customWidth="1"/>
    <col min="14599" max="14599" width="9.85546875" style="61" customWidth="1"/>
    <col min="14600" max="14600" width="13.28515625" style="61" customWidth="1"/>
    <col min="14601" max="14851" width="9.140625" style="61"/>
    <col min="14852" max="14852" width="19.140625" style="61" customWidth="1"/>
    <col min="14853" max="14853" width="14.7109375" style="61" customWidth="1"/>
    <col min="14854" max="14854" width="13.28515625" style="61" customWidth="1"/>
    <col min="14855" max="14855" width="9.85546875" style="61" customWidth="1"/>
    <col min="14856" max="14856" width="13.28515625" style="61" customWidth="1"/>
    <col min="14857" max="15107" width="9.140625" style="61"/>
    <col min="15108" max="15108" width="19.140625" style="61" customWidth="1"/>
    <col min="15109" max="15109" width="14.7109375" style="61" customWidth="1"/>
    <col min="15110" max="15110" width="13.28515625" style="61" customWidth="1"/>
    <col min="15111" max="15111" width="9.85546875" style="61" customWidth="1"/>
    <col min="15112" max="15112" width="13.28515625" style="61" customWidth="1"/>
    <col min="15113" max="15363" width="9.140625" style="61"/>
    <col min="15364" max="15364" width="19.140625" style="61" customWidth="1"/>
    <col min="15365" max="15365" width="14.7109375" style="61" customWidth="1"/>
    <col min="15366" max="15366" width="13.28515625" style="61" customWidth="1"/>
    <col min="15367" max="15367" width="9.85546875" style="61" customWidth="1"/>
    <col min="15368" max="15368" width="13.28515625" style="61" customWidth="1"/>
    <col min="15369" max="15619" width="9.140625" style="61"/>
    <col min="15620" max="15620" width="19.140625" style="61" customWidth="1"/>
    <col min="15621" max="15621" width="14.7109375" style="61" customWidth="1"/>
    <col min="15622" max="15622" width="13.28515625" style="61" customWidth="1"/>
    <col min="15623" max="15623" width="9.85546875" style="61" customWidth="1"/>
    <col min="15624" max="15624" width="13.28515625" style="61" customWidth="1"/>
    <col min="15625" max="15875" width="9.140625" style="61"/>
    <col min="15876" max="15876" width="19.140625" style="61" customWidth="1"/>
    <col min="15877" max="15877" width="14.7109375" style="61" customWidth="1"/>
    <col min="15878" max="15878" width="13.28515625" style="61" customWidth="1"/>
    <col min="15879" max="15879" width="9.85546875" style="61" customWidth="1"/>
    <col min="15880" max="15880" width="13.28515625" style="61" customWidth="1"/>
    <col min="15881" max="16131" width="9.140625" style="61"/>
    <col min="16132" max="16132" width="19.140625" style="61" customWidth="1"/>
    <col min="16133" max="16133" width="14.7109375" style="61" customWidth="1"/>
    <col min="16134" max="16134" width="13.28515625" style="61" customWidth="1"/>
    <col min="16135" max="16135" width="9.85546875" style="61" customWidth="1"/>
    <col min="16136" max="16136" width="13.28515625" style="61" customWidth="1"/>
    <col min="16137" max="16384" width="9.140625" style="61"/>
  </cols>
  <sheetData>
    <row r="1" spans="1:10" x14ac:dyDescent="0.25">
      <c r="A1" s="1092" t="s">
        <v>650</v>
      </c>
      <c r="B1" s="1093"/>
      <c r="C1" s="1093"/>
      <c r="D1" s="1093"/>
      <c r="E1" s="1093"/>
      <c r="F1" s="1093"/>
      <c r="G1" s="1093"/>
      <c r="H1" s="415"/>
    </row>
    <row r="2" spans="1:10" ht="114.75" customHeight="1" x14ac:dyDescent="0.25">
      <c r="A2" s="413" t="s">
        <v>132</v>
      </c>
      <c r="B2" s="413" t="str">
        <f>'Заправка огнетушителей'!B3</f>
        <v xml:space="preserve">Нормативная численность обучающихся </v>
      </c>
      <c r="C2" s="413" t="s">
        <v>328</v>
      </c>
      <c r="D2" s="379" t="s">
        <v>322</v>
      </c>
      <c r="E2" s="413" t="s">
        <v>45</v>
      </c>
      <c r="F2" s="460" t="s">
        <v>2</v>
      </c>
      <c r="G2" s="414" t="s">
        <v>25</v>
      </c>
      <c r="H2" s="541" t="s">
        <v>25</v>
      </c>
    </row>
    <row r="3" spans="1:10" s="710" customFormat="1" x14ac:dyDescent="0.25">
      <c r="A3" s="1094" t="str">
        <f>'Заправка огнетушителей'!A5</f>
        <v>МАДОУ ЦРР-детский сад № 2</v>
      </c>
      <c r="B3" s="1086">
        <f>'Заправка огнетушителей'!B5</f>
        <v>506</v>
      </c>
      <c r="C3" s="682">
        <v>1</v>
      </c>
      <c r="D3" s="1089">
        <f>ROUND((C3+C4+C5+C6)/B3,3)</f>
        <v>8.0000000000000002E-3</v>
      </c>
      <c r="E3" s="195">
        <v>12</v>
      </c>
      <c r="F3" s="195">
        <f>2496*1.2</f>
        <v>2995.2</v>
      </c>
      <c r="G3" s="195">
        <f>C3*E3*F3</f>
        <v>35942.399999999994</v>
      </c>
      <c r="H3" s="1097">
        <f>G3+G4+G5+G6</f>
        <v>79113.023999999976</v>
      </c>
      <c r="J3" s="710" t="s">
        <v>582</v>
      </c>
    </row>
    <row r="4" spans="1:10" s="710" customFormat="1" x14ac:dyDescent="0.25">
      <c r="A4" s="1095"/>
      <c r="B4" s="1087"/>
      <c r="C4" s="682">
        <v>1</v>
      </c>
      <c r="D4" s="1090"/>
      <c r="E4" s="195">
        <v>12</v>
      </c>
      <c r="F4" s="195">
        <f>451.11*1.2</f>
        <v>541.33199999999999</v>
      </c>
      <c r="G4" s="195">
        <f>C4*E4*F4</f>
        <v>6495.9840000000004</v>
      </c>
      <c r="H4" s="1098"/>
    </row>
    <row r="5" spans="1:10" s="710" customFormat="1" x14ac:dyDescent="0.25">
      <c r="A5" s="1095"/>
      <c r="B5" s="1087"/>
      <c r="C5" s="682">
        <v>1</v>
      </c>
      <c r="D5" s="1090"/>
      <c r="E5" s="195">
        <v>12</v>
      </c>
      <c r="F5" s="195">
        <f>451.11*1.2</f>
        <v>541.33199999999999</v>
      </c>
      <c r="G5" s="195">
        <f t="shared" ref="G5:G6" si="0">C5*E5*F5</f>
        <v>6495.9840000000004</v>
      </c>
      <c r="H5" s="1098"/>
    </row>
    <row r="6" spans="1:10" s="710" customFormat="1" x14ac:dyDescent="0.25">
      <c r="A6" s="1096"/>
      <c r="B6" s="1088"/>
      <c r="C6" s="682">
        <v>1</v>
      </c>
      <c r="D6" s="1091"/>
      <c r="E6" s="195">
        <v>12</v>
      </c>
      <c r="F6" s="195">
        <f>2095.74*1.2</f>
        <v>2514.8879999999995</v>
      </c>
      <c r="G6" s="195">
        <f t="shared" si="0"/>
        <v>30178.655999999995</v>
      </c>
      <c r="H6" s="1099"/>
    </row>
    <row r="7" spans="1:10" s="663" customFormat="1" ht="12.75" x14ac:dyDescent="0.2">
      <c r="A7" s="1094" t="str">
        <f>'Заправка огнетушителей'!A6</f>
        <v>МАДОУ ЦРР-детский сад № 11</v>
      </c>
      <c r="B7" s="1086">
        <f>'Заправка огнетушителей'!B6</f>
        <v>559</v>
      </c>
      <c r="C7" s="682">
        <v>1</v>
      </c>
      <c r="D7" s="1089">
        <f>ROUND((C7+C8+C9+C10)/B7,3)</f>
        <v>7.0000000000000001E-3</v>
      </c>
      <c r="E7" s="195">
        <v>12</v>
      </c>
      <c r="F7" s="195">
        <f>451.11*1.2</f>
        <v>541.33199999999999</v>
      </c>
      <c r="G7" s="195">
        <f t="shared" ref="G7:G13" si="1">C7*E7*F7</f>
        <v>6495.9840000000004</v>
      </c>
      <c r="H7" s="1060">
        <f>G7+G8+G9+G10</f>
        <v>75959.712</v>
      </c>
      <c r="J7" s="663" t="s">
        <v>586</v>
      </c>
    </row>
    <row r="8" spans="1:10" s="663" customFormat="1" ht="12.75" x14ac:dyDescent="0.2">
      <c r="A8" s="1095"/>
      <c r="B8" s="1087"/>
      <c r="C8" s="682">
        <v>1</v>
      </c>
      <c r="D8" s="1090"/>
      <c r="E8" s="195">
        <v>12</v>
      </c>
      <c r="F8" s="195">
        <f>451.11*1.2</f>
        <v>541.33199999999999</v>
      </c>
      <c r="G8" s="195">
        <f t="shared" si="1"/>
        <v>6495.9840000000004</v>
      </c>
      <c r="H8" s="1062"/>
    </row>
    <row r="9" spans="1:10" s="663" customFormat="1" ht="12.75" x14ac:dyDescent="0.2">
      <c r="A9" s="1095"/>
      <c r="B9" s="1087"/>
      <c r="C9" s="682">
        <v>1</v>
      </c>
      <c r="D9" s="1090"/>
      <c r="E9" s="195">
        <v>12</v>
      </c>
      <c r="F9" s="195">
        <f>3921.65*1.2</f>
        <v>4705.9799999999996</v>
      </c>
      <c r="G9" s="195">
        <f t="shared" si="1"/>
        <v>56471.759999999995</v>
      </c>
      <c r="H9" s="1062"/>
    </row>
    <row r="10" spans="1:10" s="663" customFormat="1" ht="12.75" x14ac:dyDescent="0.2">
      <c r="A10" s="1096"/>
      <c r="B10" s="1088"/>
      <c r="C10" s="682">
        <v>1</v>
      </c>
      <c r="D10" s="1091"/>
      <c r="E10" s="195">
        <v>12</v>
      </c>
      <c r="F10" s="195">
        <f>451.11*1.2</f>
        <v>541.33199999999999</v>
      </c>
      <c r="G10" s="195">
        <f t="shared" si="1"/>
        <v>6495.9840000000004</v>
      </c>
      <c r="H10" s="1061"/>
    </row>
    <row r="11" spans="1:10" s="663" customFormat="1" ht="12.75" x14ac:dyDescent="0.2">
      <c r="A11" s="1094" t="str">
        <f>'Заправка огнетушителей'!A7</f>
        <v>МАДОУ ЦРР-детский сад № 13</v>
      </c>
      <c r="B11" s="1086">
        <f>'Заправка огнетушителей'!B7</f>
        <v>633</v>
      </c>
      <c r="C11" s="682">
        <v>1</v>
      </c>
      <c r="D11" s="1089">
        <f>ROUND((C11+C12+C13+C14+C15)/B11,3)</f>
        <v>8.0000000000000002E-3</v>
      </c>
      <c r="E11" s="195">
        <v>12</v>
      </c>
      <c r="F11" s="195">
        <f>363.78*1.2</f>
        <v>436.53599999999994</v>
      </c>
      <c r="G11" s="195">
        <f t="shared" si="1"/>
        <v>5238.4319999999989</v>
      </c>
      <c r="H11" s="1060">
        <f>G11+G12+G13+G14+G15</f>
        <v>28707.263999999999</v>
      </c>
      <c r="J11" s="18" t="s">
        <v>596</v>
      </c>
    </row>
    <row r="12" spans="1:10" s="663" customFormat="1" ht="12.75" x14ac:dyDescent="0.2">
      <c r="A12" s="1095"/>
      <c r="B12" s="1087"/>
      <c r="C12" s="682">
        <v>1</v>
      </c>
      <c r="D12" s="1090"/>
      <c r="E12" s="195">
        <v>12</v>
      </c>
      <c r="F12" s="195">
        <f>363.78*1.2</f>
        <v>436.53599999999994</v>
      </c>
      <c r="G12" s="195">
        <f t="shared" si="1"/>
        <v>5238.4319999999989</v>
      </c>
      <c r="H12" s="1062"/>
    </row>
    <row r="13" spans="1:10" s="663" customFormat="1" ht="12.75" x14ac:dyDescent="0.2">
      <c r="A13" s="1095"/>
      <c r="B13" s="1087"/>
      <c r="C13" s="682">
        <v>1</v>
      </c>
      <c r="D13" s="1090"/>
      <c r="E13" s="195">
        <v>12</v>
      </c>
      <c r="F13" s="195">
        <f>363.78*1.2</f>
        <v>436.53599999999994</v>
      </c>
      <c r="G13" s="195">
        <f t="shared" si="1"/>
        <v>5238.4319999999989</v>
      </c>
      <c r="H13" s="1062"/>
    </row>
    <row r="14" spans="1:10" s="663" customFormat="1" ht="12.75" x14ac:dyDescent="0.2">
      <c r="A14" s="1095"/>
      <c r="B14" s="1087"/>
      <c r="C14" s="682">
        <v>1</v>
      </c>
      <c r="D14" s="1090"/>
      <c r="E14" s="195">
        <v>12</v>
      </c>
      <c r="F14" s="195">
        <f>451.11*1.2</f>
        <v>541.33199999999999</v>
      </c>
      <c r="G14" s="195">
        <f t="shared" ref="G14:G15" si="2">C14*E14*F14</f>
        <v>6495.9840000000004</v>
      </c>
      <c r="H14" s="1062"/>
    </row>
    <row r="15" spans="1:10" s="663" customFormat="1" ht="12.75" x14ac:dyDescent="0.2">
      <c r="A15" s="1096"/>
      <c r="B15" s="1088"/>
      <c r="C15" s="682">
        <v>1</v>
      </c>
      <c r="D15" s="1091"/>
      <c r="E15" s="195">
        <v>12</v>
      </c>
      <c r="F15" s="195">
        <f>451.11*1.2</f>
        <v>541.33199999999999</v>
      </c>
      <c r="G15" s="195">
        <f t="shared" si="2"/>
        <v>6495.9840000000004</v>
      </c>
      <c r="H15" s="1061"/>
    </row>
    <row r="16" spans="1:10" s="663" customFormat="1" ht="12.75" x14ac:dyDescent="0.2">
      <c r="A16" s="1094" t="str">
        <f>'Заправка огнетушителей'!A8</f>
        <v>МАОУ СОШ № 1 структурное подразделение</v>
      </c>
      <c r="B16" s="1086">
        <f>'Заправка огнетушителей'!B8</f>
        <v>381</v>
      </c>
      <c r="C16" s="715">
        <v>1</v>
      </c>
      <c r="D16" s="1089">
        <f>ROUND((C16+C17)/B16,3)</f>
        <v>5.0000000000000001E-3</v>
      </c>
      <c r="E16" s="195">
        <v>12</v>
      </c>
      <c r="F16" s="195">
        <f>3178.09*1.2</f>
        <v>3813.7080000000001</v>
      </c>
      <c r="G16" s="195">
        <f t="shared" ref="G16:G24" si="3">C16*E16*F16</f>
        <v>45764.495999999999</v>
      </c>
      <c r="H16" s="1060">
        <f>G16+G17</f>
        <v>52260.479999999996</v>
      </c>
      <c r="J16" s="663" t="s">
        <v>621</v>
      </c>
    </row>
    <row r="17" spans="1:10" s="663" customFormat="1" ht="12.75" x14ac:dyDescent="0.2">
      <c r="A17" s="1096"/>
      <c r="B17" s="1088"/>
      <c r="C17" s="715">
        <v>1</v>
      </c>
      <c r="D17" s="1091"/>
      <c r="E17" s="195">
        <v>12</v>
      </c>
      <c r="F17" s="195">
        <f>451.11*1.2</f>
        <v>541.33199999999999</v>
      </c>
      <c r="G17" s="195">
        <f t="shared" si="3"/>
        <v>6495.9840000000004</v>
      </c>
      <c r="H17" s="1061"/>
    </row>
    <row r="18" spans="1:10" s="663" customFormat="1" ht="12.75" customHeight="1" x14ac:dyDescent="0.2">
      <c r="A18" s="1094" t="str">
        <f>'Заправка огнетушителей'!A9</f>
        <v>МАОУ СОШ № 2 им.М.И.Грибушина структурное подразделение</v>
      </c>
      <c r="B18" s="1086">
        <f>'Заправка огнетушителей'!B9</f>
        <v>288</v>
      </c>
      <c r="C18" s="628">
        <v>1</v>
      </c>
      <c r="D18" s="1089">
        <f>ROUND((C18+C19+C20)/B18,3)</f>
        <v>0.01</v>
      </c>
      <c r="E18" s="195">
        <v>12</v>
      </c>
      <c r="F18" s="195">
        <f>2173.7*1.2</f>
        <v>2608.4399999999996</v>
      </c>
      <c r="G18" s="195">
        <f t="shared" si="3"/>
        <v>31301.279999999995</v>
      </c>
      <c r="H18" s="1060">
        <f>G18+G19+G20</f>
        <v>44293.247999999992</v>
      </c>
      <c r="J18" s="663" t="s">
        <v>493</v>
      </c>
    </row>
    <row r="19" spans="1:10" s="663" customFormat="1" ht="12.75" customHeight="1" x14ac:dyDescent="0.2">
      <c r="A19" s="1095"/>
      <c r="B19" s="1087"/>
      <c r="C19" s="628">
        <v>1</v>
      </c>
      <c r="D19" s="1090"/>
      <c r="E19" s="195">
        <v>12</v>
      </c>
      <c r="F19" s="195">
        <f>451.11*1.2</f>
        <v>541.33199999999999</v>
      </c>
      <c r="G19" s="195">
        <f t="shared" si="3"/>
        <v>6495.9840000000004</v>
      </c>
      <c r="H19" s="1062"/>
    </row>
    <row r="20" spans="1:10" s="663" customFormat="1" ht="12.75" customHeight="1" x14ac:dyDescent="0.2">
      <c r="A20" s="1096"/>
      <c r="B20" s="1088"/>
      <c r="C20" s="628">
        <v>1</v>
      </c>
      <c r="D20" s="1091"/>
      <c r="E20" s="195">
        <v>12</v>
      </c>
      <c r="F20" s="195">
        <f>451.11*1.2</f>
        <v>541.33199999999999</v>
      </c>
      <c r="G20" s="195">
        <f t="shared" si="3"/>
        <v>6495.9840000000004</v>
      </c>
      <c r="H20" s="1061"/>
    </row>
    <row r="21" spans="1:10" s="663" customFormat="1" ht="12.75" x14ac:dyDescent="0.2">
      <c r="A21" s="1066" t="str">
        <f>'Заправка огнетушителей'!A10</f>
        <v>МАОУ СОШ № 10 структурное подразделение</v>
      </c>
      <c r="B21" s="1086">
        <f>'Заправка огнетушителей'!B10</f>
        <v>262</v>
      </c>
      <c r="C21" s="628">
        <v>1</v>
      </c>
      <c r="D21" s="1089">
        <f>ROUND((C21+C22)/B21,3)</f>
        <v>8.0000000000000002E-3</v>
      </c>
      <c r="E21" s="195">
        <v>12</v>
      </c>
      <c r="F21" s="195">
        <f>3136.12*1.2</f>
        <v>3763.3439999999996</v>
      </c>
      <c r="G21" s="195">
        <f t="shared" si="3"/>
        <v>45160.127999999997</v>
      </c>
      <c r="H21" s="1060">
        <f>G21+G22</f>
        <v>84923.423999999999</v>
      </c>
      <c r="J21" s="663" t="s">
        <v>496</v>
      </c>
    </row>
    <row r="22" spans="1:10" s="663" customFormat="1" ht="12.75" x14ac:dyDescent="0.2">
      <c r="A22" s="1067"/>
      <c r="B22" s="1088"/>
      <c r="C22" s="628">
        <v>1</v>
      </c>
      <c r="D22" s="1091"/>
      <c r="E22" s="195">
        <v>12</v>
      </c>
      <c r="F22" s="195">
        <f>2761.34*1.2</f>
        <v>3313.6080000000002</v>
      </c>
      <c r="G22" s="195">
        <f t="shared" si="3"/>
        <v>39763.296000000002</v>
      </c>
      <c r="H22" s="1061"/>
    </row>
    <row r="23" spans="1:10" s="663" customFormat="1" ht="12.75" x14ac:dyDescent="0.2">
      <c r="A23" s="674" t="str">
        <f>'Заправка огнетушителей'!A11</f>
        <v>МАОУ СОШ № 13 структурное подразделение</v>
      </c>
      <c r="B23" s="724">
        <f>'Заправка огнетушителей'!B11</f>
        <v>224</v>
      </c>
      <c r="C23" s="723">
        <f>'Исходные данные'!C10</f>
        <v>1</v>
      </c>
      <c r="D23" s="725">
        <f>ROUND(C23/B23,3)</f>
        <v>4.0000000000000001E-3</v>
      </c>
      <c r="E23" s="195">
        <v>12</v>
      </c>
      <c r="F23" s="195">
        <f>3874.38*1.2</f>
        <v>4649.2560000000003</v>
      </c>
      <c r="G23" s="195">
        <f t="shared" si="3"/>
        <v>55791.072</v>
      </c>
      <c r="H23" s="195">
        <f>G23</f>
        <v>55791.072</v>
      </c>
      <c r="J23" s="663" t="s">
        <v>508</v>
      </c>
    </row>
    <row r="24" spans="1:10" s="663" customFormat="1" ht="12.75" x14ac:dyDescent="0.2">
      <c r="A24" s="1094" t="str">
        <f>'Заправка огнетушителей'!A12</f>
        <v>Гимназия № 16 структурное подразделение</v>
      </c>
      <c r="B24" s="1086">
        <f>'Заправка огнетушителей'!B12</f>
        <v>456</v>
      </c>
      <c r="C24" s="715">
        <v>1</v>
      </c>
      <c r="D24" s="1089">
        <f>ROUND((C24+C25+C26)/B24,3)</f>
        <v>7.0000000000000001E-3</v>
      </c>
      <c r="E24" s="195">
        <v>12</v>
      </c>
      <c r="F24" s="195">
        <f>451.11*1.2</f>
        <v>541.33199999999999</v>
      </c>
      <c r="G24" s="195">
        <f t="shared" si="3"/>
        <v>6495.9840000000004</v>
      </c>
      <c r="H24" s="1060">
        <f>G24+G25+G26</f>
        <v>19487.952000000001</v>
      </c>
      <c r="J24" s="663" t="s">
        <v>480</v>
      </c>
    </row>
    <row r="25" spans="1:10" s="663" customFormat="1" ht="12.75" x14ac:dyDescent="0.2">
      <c r="A25" s="1095"/>
      <c r="B25" s="1087"/>
      <c r="C25" s="715">
        <v>1</v>
      </c>
      <c r="D25" s="1090"/>
      <c r="E25" s="195">
        <v>12</v>
      </c>
      <c r="F25" s="195">
        <f>451.11*1.2</f>
        <v>541.33199999999999</v>
      </c>
      <c r="G25" s="195">
        <f t="shared" ref="G25:G26" si="4">C25*E25*F25</f>
        <v>6495.9840000000004</v>
      </c>
      <c r="H25" s="1062"/>
    </row>
    <row r="26" spans="1:10" s="663" customFormat="1" ht="12.75" x14ac:dyDescent="0.2">
      <c r="A26" s="1096"/>
      <c r="B26" s="1088"/>
      <c r="C26" s="715">
        <v>1</v>
      </c>
      <c r="D26" s="1091"/>
      <c r="E26" s="195">
        <v>12</v>
      </c>
      <c r="F26" s="195">
        <f>451.11*1.2</f>
        <v>541.33199999999999</v>
      </c>
      <c r="G26" s="195">
        <f t="shared" si="4"/>
        <v>6495.9840000000004</v>
      </c>
      <c r="H26" s="1061"/>
    </row>
    <row r="27" spans="1:10" s="663" customFormat="1" ht="32.25" customHeight="1" thickBot="1" x14ac:dyDescent="0.25">
      <c r="A27" s="674" t="str">
        <f>'Заправка огнетушителей'!A13</f>
        <v>МАОУ ООШ № 17 с кадетскими классами структурное подразделение</v>
      </c>
      <c r="B27" s="656">
        <f>'Заправка огнетушителей'!B13</f>
        <v>189</v>
      </c>
      <c r="C27" s="646">
        <f>'Исходные данные'!C12</f>
        <v>1</v>
      </c>
      <c r="D27" s="657">
        <f>ROUND(C27/B27,3)</f>
        <v>5.0000000000000001E-3</v>
      </c>
      <c r="E27" s="195">
        <v>12</v>
      </c>
      <c r="F27" s="195">
        <f>541.31*1.2</f>
        <v>649.57199999999989</v>
      </c>
      <c r="G27" s="195">
        <f>C27*E27*F27</f>
        <v>7794.8639999999987</v>
      </c>
      <c r="H27" s="195">
        <f>G27</f>
        <v>7794.8639999999987</v>
      </c>
      <c r="J27" s="18" t="s">
        <v>502</v>
      </c>
    </row>
    <row r="28" spans="1:10" s="62" customFormat="1" ht="13.5" thickBot="1" x14ac:dyDescent="0.25">
      <c r="A28" s="69" t="s">
        <v>182</v>
      </c>
      <c r="B28" s="296">
        <f>SUM(B3:B27)</f>
        <v>3498</v>
      </c>
      <c r="C28" s="296">
        <f>SUM(C3:C27)</f>
        <v>25</v>
      </c>
      <c r="D28" s="389">
        <f>ROUND(MEDIAN(D3:D27),3)</f>
        <v>7.0000000000000001E-3</v>
      </c>
      <c r="E28" s="70"/>
      <c r="F28" s="22">
        <f>ROUND(AVERAGE(F3:F27),2)</f>
        <v>1494.44</v>
      </c>
      <c r="G28" s="393">
        <f>SUM(G3:G27)</f>
        <v>448331.03999999986</v>
      </c>
      <c r="H28" s="393">
        <f>SUM(H3:H27)</f>
        <v>448331.04</v>
      </c>
    </row>
    <row r="29" spans="1:10" s="62" customFormat="1" ht="12.75" x14ac:dyDescent="0.2">
      <c r="E29" s="138" t="s">
        <v>240</v>
      </c>
      <c r="F29" s="140"/>
      <c r="G29" s="141">
        <f>ROUND(D28*F28,2)</f>
        <v>10.46</v>
      </c>
    </row>
  </sheetData>
  <mergeCells count="29">
    <mergeCell ref="H3:H6"/>
    <mergeCell ref="A18:A20"/>
    <mergeCell ref="A24:A26"/>
    <mergeCell ref="B24:B26"/>
    <mergeCell ref="D24:D26"/>
    <mergeCell ref="H24:H26"/>
    <mergeCell ref="H7:H10"/>
    <mergeCell ref="H16:H17"/>
    <mergeCell ref="B18:B20"/>
    <mergeCell ref="D18:D20"/>
    <mergeCell ref="H18:H20"/>
    <mergeCell ref="H11:H15"/>
    <mergeCell ref="A21:A22"/>
    <mergeCell ref="B21:B22"/>
    <mergeCell ref="D21:D22"/>
    <mergeCell ref="H21:H22"/>
    <mergeCell ref="A1:G1"/>
    <mergeCell ref="A7:A10"/>
    <mergeCell ref="B7:B10"/>
    <mergeCell ref="D7:D10"/>
    <mergeCell ref="A16:A17"/>
    <mergeCell ref="B16:B17"/>
    <mergeCell ref="D16:D17"/>
    <mergeCell ref="A3:A6"/>
    <mergeCell ref="B3:B6"/>
    <mergeCell ref="D3:D6"/>
    <mergeCell ref="A11:A15"/>
    <mergeCell ref="B11:B15"/>
    <mergeCell ref="D11:D15"/>
  </mergeCells>
  <pageMargins left="0.25" right="0.25" top="0.75" bottom="0.75" header="0.3" footer="0.3"/>
  <pageSetup paperSize="9" scale="74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/>
  <dimension ref="A1:J23"/>
  <sheetViews>
    <sheetView zoomScale="110" zoomScaleNormal="110" workbookViewId="0">
      <selection activeCell="I22" sqref="I22"/>
    </sheetView>
  </sheetViews>
  <sheetFormatPr defaultColWidth="9.140625" defaultRowHeight="15" x14ac:dyDescent="0.25"/>
  <cols>
    <col min="1" max="1" width="43" style="419" customWidth="1"/>
    <col min="2" max="3" width="12.7109375" style="419" customWidth="1"/>
    <col min="4" max="5" width="13.28515625" style="419" customWidth="1"/>
    <col min="6" max="6" width="11" style="419" customWidth="1"/>
    <col min="7" max="8" width="13.28515625" style="419" customWidth="1"/>
    <col min="9" max="16384" width="9.140625" style="419"/>
  </cols>
  <sheetData>
    <row r="1" spans="1:10" x14ac:dyDescent="0.25">
      <c r="A1" s="1118" t="s">
        <v>435</v>
      </c>
      <c r="B1" s="1119"/>
      <c r="C1" s="1119"/>
      <c r="D1" s="1119"/>
      <c r="E1" s="1119"/>
      <c r="F1" s="1119"/>
      <c r="G1" s="1119"/>
      <c r="H1" s="416"/>
    </row>
    <row r="2" spans="1:10" ht="117" customHeight="1" x14ac:dyDescent="0.25">
      <c r="A2" s="420" t="s">
        <v>132</v>
      </c>
      <c r="B2" s="54" t="str">
        <f>'Заправка огнетушителей'!B3</f>
        <v xml:space="preserve">Нормативная численность обучающихся </v>
      </c>
      <c r="C2" s="54" t="s">
        <v>328</v>
      </c>
      <c r="D2" s="50" t="s">
        <v>45</v>
      </c>
      <c r="E2" s="50" t="s">
        <v>322</v>
      </c>
      <c r="F2" s="421" t="s">
        <v>2</v>
      </c>
      <c r="G2" s="421" t="s">
        <v>1</v>
      </c>
      <c r="H2" s="421" t="s">
        <v>25</v>
      </c>
    </row>
    <row r="3" spans="1:10" s="589" customFormat="1" x14ac:dyDescent="0.25">
      <c r="A3" s="1105" t="str">
        <f>'Обслуживание КТС'!A3</f>
        <v>МАДОУ ЦРР-детский сад № 2</v>
      </c>
      <c r="B3" s="1108">
        <f>'Обслуживание КТС'!B3</f>
        <v>506</v>
      </c>
      <c r="C3" s="56">
        <v>1</v>
      </c>
      <c r="D3" s="287">
        <v>12</v>
      </c>
      <c r="E3" s="1111">
        <f>ROUND((C3+C4)/B3*12,3)</f>
        <v>4.7E-2</v>
      </c>
      <c r="F3" s="287">
        <v>3391</v>
      </c>
      <c r="G3" s="287">
        <f>C3*D3*F3</f>
        <v>40692</v>
      </c>
      <c r="H3" s="1114">
        <f>G3+G4</f>
        <v>72283.92</v>
      </c>
      <c r="J3" s="589" t="s">
        <v>581</v>
      </c>
    </row>
    <row r="4" spans="1:10" s="589" customFormat="1" x14ac:dyDescent="0.25">
      <c r="A4" s="1107"/>
      <c r="B4" s="1110"/>
      <c r="C4" s="56">
        <v>1</v>
      </c>
      <c r="D4" s="287">
        <v>12</v>
      </c>
      <c r="E4" s="1113"/>
      <c r="F4" s="287">
        <v>2632.66</v>
      </c>
      <c r="G4" s="287">
        <f>C4*D4*F4</f>
        <v>31591.919999999998</v>
      </c>
      <c r="H4" s="1116"/>
    </row>
    <row r="5" spans="1:10" s="589" customFormat="1" x14ac:dyDescent="0.25">
      <c r="A5" s="1094" t="str">
        <f>'Обслуживание КТС'!A7</f>
        <v>МАДОУ ЦРР-детский сад № 11</v>
      </c>
      <c r="B5" s="1108">
        <f>'Обслуживание КТС'!B7</f>
        <v>559</v>
      </c>
      <c r="C5" s="56">
        <v>1</v>
      </c>
      <c r="D5" s="287">
        <v>12</v>
      </c>
      <c r="E5" s="1111">
        <f>ROUND((C5+C8)/B5*12,3)</f>
        <v>4.2999999999999997E-2</v>
      </c>
      <c r="F5" s="287">
        <v>954</v>
      </c>
      <c r="G5" s="287">
        <f>C5*D5*F5</f>
        <v>11448</v>
      </c>
      <c r="H5" s="1114">
        <f>G5+G8+G6+G7</f>
        <v>141000</v>
      </c>
      <c r="J5" s="589" t="s">
        <v>605</v>
      </c>
    </row>
    <row r="6" spans="1:10" s="589" customFormat="1" x14ac:dyDescent="0.25">
      <c r="A6" s="1095"/>
      <c r="B6" s="1109"/>
      <c r="C6" s="56">
        <v>1</v>
      </c>
      <c r="D6" s="287">
        <v>12</v>
      </c>
      <c r="E6" s="1112"/>
      <c r="F6" s="287">
        <v>509</v>
      </c>
      <c r="G6" s="287">
        <f t="shared" ref="G6:G8" si="0">C6*D6*F6</f>
        <v>6108</v>
      </c>
      <c r="H6" s="1117"/>
    </row>
    <row r="7" spans="1:10" s="589" customFormat="1" x14ac:dyDescent="0.25">
      <c r="A7" s="1095"/>
      <c r="B7" s="1109"/>
      <c r="C7" s="56">
        <v>1</v>
      </c>
      <c r="D7" s="287">
        <v>12</v>
      </c>
      <c r="E7" s="1112"/>
      <c r="F7" s="287">
        <v>6006.41</v>
      </c>
      <c r="G7" s="287">
        <f t="shared" si="0"/>
        <v>72076.92</v>
      </c>
      <c r="H7" s="1117"/>
    </row>
    <row r="8" spans="1:10" s="589" customFormat="1" x14ac:dyDescent="0.25">
      <c r="A8" s="1096"/>
      <c r="B8" s="1110"/>
      <c r="C8" s="56">
        <v>1</v>
      </c>
      <c r="D8" s="287">
        <v>12</v>
      </c>
      <c r="E8" s="1113"/>
      <c r="F8" s="287">
        <v>4280.59</v>
      </c>
      <c r="G8" s="287">
        <f t="shared" si="0"/>
        <v>51367.08</v>
      </c>
      <c r="H8" s="1116"/>
    </row>
    <row r="9" spans="1:10" s="589" customFormat="1" x14ac:dyDescent="0.25">
      <c r="A9" s="1105" t="str">
        <f>'Обслуживание КТС'!A11</f>
        <v>МАДОУ ЦРР-детский сад № 13</v>
      </c>
      <c r="B9" s="1108">
        <f>'Обслуживание КТС'!B11</f>
        <v>633</v>
      </c>
      <c r="C9" s="56">
        <v>1</v>
      </c>
      <c r="D9" s="287">
        <v>12</v>
      </c>
      <c r="E9" s="1111">
        <f>ROUND((C9+C10+C13)/B9*12,3)</f>
        <v>5.7000000000000002E-2</v>
      </c>
      <c r="F9" s="195">
        <v>1246.6600000000001</v>
      </c>
      <c r="G9" s="287">
        <f t="shared" ref="G9:G19" si="1">C9*D9*F9</f>
        <v>14959.920000000002</v>
      </c>
      <c r="H9" s="1114">
        <f>G9+G10+G13+G11+G12</f>
        <v>77959.8</v>
      </c>
      <c r="J9" s="589" t="s">
        <v>597</v>
      </c>
    </row>
    <row r="10" spans="1:10" s="589" customFormat="1" x14ac:dyDescent="0.25">
      <c r="A10" s="1106"/>
      <c r="B10" s="1109"/>
      <c r="C10" s="56">
        <v>1</v>
      </c>
      <c r="D10" s="287">
        <v>12</v>
      </c>
      <c r="E10" s="1112"/>
      <c r="F10" s="686">
        <v>948.85</v>
      </c>
      <c r="G10" s="287">
        <f t="shared" si="1"/>
        <v>11386.2</v>
      </c>
      <c r="H10" s="1115"/>
    </row>
    <row r="11" spans="1:10" s="589" customFormat="1" x14ac:dyDescent="0.25">
      <c r="A11" s="1106"/>
      <c r="B11" s="1109"/>
      <c r="C11" s="56">
        <v>1</v>
      </c>
      <c r="D11" s="287">
        <v>12</v>
      </c>
      <c r="E11" s="1112"/>
      <c r="F11" s="686">
        <v>238.49</v>
      </c>
      <c r="G11" s="287">
        <f t="shared" si="1"/>
        <v>2861.88</v>
      </c>
      <c r="H11" s="1115"/>
    </row>
    <row r="12" spans="1:10" s="589" customFormat="1" x14ac:dyDescent="0.25">
      <c r="A12" s="1106"/>
      <c r="B12" s="1109"/>
      <c r="C12" s="56">
        <v>1</v>
      </c>
      <c r="D12" s="287">
        <v>12</v>
      </c>
      <c r="E12" s="1112"/>
      <c r="F12" s="686">
        <v>1854</v>
      </c>
      <c r="G12" s="287">
        <f t="shared" si="1"/>
        <v>22248</v>
      </c>
      <c r="H12" s="1115"/>
    </row>
    <row r="13" spans="1:10" s="589" customFormat="1" x14ac:dyDescent="0.25">
      <c r="A13" s="1107"/>
      <c r="B13" s="1110"/>
      <c r="C13" s="56">
        <v>1</v>
      </c>
      <c r="D13" s="287">
        <v>12</v>
      </c>
      <c r="E13" s="1113"/>
      <c r="F13" s="686">
        <v>2208.65</v>
      </c>
      <c r="G13" s="287">
        <f t="shared" si="1"/>
        <v>26503.800000000003</v>
      </c>
      <c r="H13" s="1116"/>
    </row>
    <row r="14" spans="1:10" s="589" customFormat="1" x14ac:dyDescent="0.25">
      <c r="A14" s="53" t="str">
        <f>'Обслуживание КТС'!A16</f>
        <v>МАОУ СОШ № 1 структурное подразделение</v>
      </c>
      <c r="B14" s="635">
        <f>'Обслуживание КТС'!B16</f>
        <v>381</v>
      </c>
      <c r="C14" s="56">
        <v>1</v>
      </c>
      <c r="D14" s="287">
        <v>12</v>
      </c>
      <c r="E14" s="636">
        <f t="shared" ref="E14:E19" si="2">ROUND(C14/B14*12,3)</f>
        <v>3.1E-2</v>
      </c>
      <c r="F14" s="287">
        <v>5780</v>
      </c>
      <c r="G14" s="287">
        <f t="shared" si="1"/>
        <v>69360</v>
      </c>
      <c r="H14" s="643">
        <f t="shared" ref="H14:H19" si="3">G14</f>
        <v>69360</v>
      </c>
      <c r="J14" s="589" t="s">
        <v>486</v>
      </c>
    </row>
    <row r="15" spans="1:10" s="589" customFormat="1" ht="26.25" x14ac:dyDescent="0.25">
      <c r="A15" s="53" t="str">
        <f>'Обслуживание КТС'!A18</f>
        <v>МАОУ СОШ № 2 им.М.И.Грибушина структурное подразделение</v>
      </c>
      <c r="B15" s="635">
        <f>'Обслуживание КТС'!B18</f>
        <v>288</v>
      </c>
      <c r="C15" s="56">
        <v>1</v>
      </c>
      <c r="D15" s="287">
        <v>12</v>
      </c>
      <c r="E15" s="636">
        <f t="shared" si="2"/>
        <v>4.2000000000000003E-2</v>
      </c>
      <c r="F15" s="282">
        <v>3805.08</v>
      </c>
      <c r="G15" s="287">
        <f t="shared" si="1"/>
        <v>45660.959999999999</v>
      </c>
      <c r="H15" s="643">
        <f t="shared" si="3"/>
        <v>45660.959999999999</v>
      </c>
      <c r="J15" s="589" t="s">
        <v>491</v>
      </c>
    </row>
    <row r="16" spans="1:10" s="589" customFormat="1" x14ac:dyDescent="0.25">
      <c r="A16" s="46" t="str">
        <f>'Обслуживание КТС'!A21</f>
        <v>МАОУ СОШ № 10 структурное подразделение</v>
      </c>
      <c r="B16" s="694">
        <f>'Обслуживание КТС'!B21</f>
        <v>262</v>
      </c>
      <c r="C16" s="56">
        <v>2</v>
      </c>
      <c r="D16" s="287">
        <v>12</v>
      </c>
      <c r="E16" s="695">
        <f t="shared" si="2"/>
        <v>9.1999999999999998E-2</v>
      </c>
      <c r="F16" s="287">
        <f>1900/2</f>
        <v>950</v>
      </c>
      <c r="G16" s="287">
        <f>C16*D16*F16</f>
        <v>22800</v>
      </c>
      <c r="H16" s="643">
        <f t="shared" si="3"/>
        <v>22800</v>
      </c>
      <c r="J16" s="589" t="s">
        <v>498</v>
      </c>
    </row>
    <row r="17" spans="1:10" s="589" customFormat="1" x14ac:dyDescent="0.25">
      <c r="A17" s="46" t="str">
        <f>'Обслуживание КТС'!A23</f>
        <v>МАОУ СОШ № 13 структурное подразделение</v>
      </c>
      <c r="B17" s="720">
        <f>'Обслуживание КТС'!B23</f>
        <v>224</v>
      </c>
      <c r="C17" s="56">
        <v>1</v>
      </c>
      <c r="D17" s="287">
        <v>12</v>
      </c>
      <c r="E17" s="721">
        <f t="shared" si="2"/>
        <v>5.3999999999999999E-2</v>
      </c>
      <c r="F17" s="287">
        <v>1180.29</v>
      </c>
      <c r="G17" s="287">
        <f t="shared" si="1"/>
        <v>14163.48</v>
      </c>
      <c r="H17" s="643">
        <f t="shared" si="3"/>
        <v>14163.48</v>
      </c>
      <c r="J17" s="589" t="s">
        <v>636</v>
      </c>
    </row>
    <row r="18" spans="1:10" s="589" customFormat="1" x14ac:dyDescent="0.25">
      <c r="A18" s="53" t="str">
        <f>'Обслуживание КТС'!A24</f>
        <v>Гимназия № 16 структурное подразделение</v>
      </c>
      <c r="B18" s="622">
        <f>'Обслуживание КТС'!B24</f>
        <v>456</v>
      </c>
      <c r="C18" s="56">
        <v>1</v>
      </c>
      <c r="D18" s="287">
        <v>12</v>
      </c>
      <c r="E18" s="623">
        <f t="shared" si="2"/>
        <v>2.5999999999999999E-2</v>
      </c>
      <c r="F18" s="282">
        <v>2875.25</v>
      </c>
      <c r="G18" s="287">
        <f t="shared" si="1"/>
        <v>34503</v>
      </c>
      <c r="H18" s="643">
        <f t="shared" si="3"/>
        <v>34503</v>
      </c>
      <c r="J18" s="589" t="s">
        <v>477</v>
      </c>
    </row>
    <row r="19" spans="1:10" s="589" customFormat="1" ht="31.5" customHeight="1" thickBot="1" x14ac:dyDescent="0.3">
      <c r="A19" s="554" t="str">
        <f>'Обслуживание КТС'!A27</f>
        <v>МАОУ ООШ № 17 с кадетскими классами структурное подразделение</v>
      </c>
      <c r="B19" s="650">
        <f>'Обслуживание КТС'!B27</f>
        <v>189</v>
      </c>
      <c r="C19" s="56">
        <v>1</v>
      </c>
      <c r="D19" s="287">
        <v>12</v>
      </c>
      <c r="E19" s="651">
        <f t="shared" si="2"/>
        <v>6.3E-2</v>
      </c>
      <c r="F19" s="287">
        <v>1718.79</v>
      </c>
      <c r="G19" s="287">
        <f t="shared" si="1"/>
        <v>20625.48</v>
      </c>
      <c r="H19" s="643">
        <f t="shared" si="3"/>
        <v>20625.48</v>
      </c>
      <c r="J19" s="589" t="s">
        <v>503</v>
      </c>
    </row>
    <row r="20" spans="1:10" ht="15.75" thickBot="1" x14ac:dyDescent="0.3">
      <c r="A20" s="422" t="s">
        <v>183</v>
      </c>
      <c r="B20" s="423">
        <f>SUM(B3:B19)</f>
        <v>3498</v>
      </c>
      <c r="C20" s="423"/>
      <c r="D20" s="424"/>
      <c r="E20" s="481">
        <f>ROUND(MEDIAN(E3:E19),3)</f>
        <v>4.7E-2</v>
      </c>
      <c r="F20" s="424">
        <f>ROUND(AVERAGE(F3:F19),2)</f>
        <v>2387.04</v>
      </c>
      <c r="G20" s="425">
        <f>SUM(G3:G19)</f>
        <v>498356.64</v>
      </c>
      <c r="H20" s="425">
        <f>SUM(H3:H19)</f>
        <v>498356.63999999996</v>
      </c>
    </row>
    <row r="21" spans="1:10" x14ac:dyDescent="0.25">
      <c r="A21" s="4"/>
      <c r="B21" s="4"/>
      <c r="C21" s="4"/>
      <c r="D21" s="138" t="s">
        <v>240</v>
      </c>
      <c r="E21" s="138"/>
      <c r="F21" s="140"/>
      <c r="G21" s="141">
        <f>ROUND(E20*F20,2)</f>
        <v>112.19</v>
      </c>
    </row>
    <row r="23" spans="1:10" x14ac:dyDescent="0.25">
      <c r="A23" s="419" t="s">
        <v>436</v>
      </c>
    </row>
  </sheetData>
  <mergeCells count="13">
    <mergeCell ref="A1:G1"/>
    <mergeCell ref="A3:A4"/>
    <mergeCell ref="B3:B4"/>
    <mergeCell ref="E3:E4"/>
    <mergeCell ref="H3:H4"/>
    <mergeCell ref="A9:A13"/>
    <mergeCell ref="B9:B13"/>
    <mergeCell ref="E9:E13"/>
    <mergeCell ref="H9:H13"/>
    <mergeCell ref="A5:A8"/>
    <mergeCell ref="B5:B8"/>
    <mergeCell ref="E5:E8"/>
    <mergeCell ref="H5:H8"/>
  </mergeCells>
  <pageMargins left="0.75" right="0.75" top="1" bottom="1" header="0.5" footer="0.5"/>
  <pageSetup paperSize="9" scale="65" orientation="portrait" r:id="rId1"/>
  <headerFooter alignWithMargins="0"/>
  <colBreaks count="1" manualBreakCount="1">
    <brk id="8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/>
  <dimension ref="A1:M5"/>
  <sheetViews>
    <sheetView zoomScale="110" zoomScaleNormal="110" workbookViewId="0">
      <selection activeCell="I22" sqref="I22"/>
    </sheetView>
  </sheetViews>
  <sheetFormatPr defaultRowHeight="12.75" x14ac:dyDescent="0.2"/>
  <cols>
    <col min="1" max="1" width="21.42578125" style="18" customWidth="1"/>
    <col min="2" max="2" width="12.85546875" style="18" customWidth="1"/>
    <col min="3" max="4" width="11.28515625" style="18" customWidth="1"/>
    <col min="5" max="8" width="11.7109375" style="18" customWidth="1"/>
    <col min="9" max="9" width="13.28515625" style="18" customWidth="1"/>
    <col min="10" max="10" width="11.42578125" style="18" customWidth="1"/>
    <col min="11" max="11" width="9.140625" style="18"/>
    <col min="12" max="12" width="12.42578125" style="18" customWidth="1"/>
    <col min="13" max="13" width="16.28515625" style="18" customWidth="1"/>
    <col min="14" max="260" width="9.140625" style="18"/>
    <col min="261" max="261" width="21.42578125" style="18" customWidth="1"/>
    <col min="262" max="262" width="12.85546875" style="18" customWidth="1"/>
    <col min="263" max="264" width="11.28515625" style="18" customWidth="1"/>
    <col min="265" max="265" width="11.7109375" style="18" customWidth="1"/>
    <col min="266" max="266" width="13.28515625" style="18" customWidth="1"/>
    <col min="267" max="267" width="11.42578125" style="18" customWidth="1"/>
    <col min="268" max="268" width="9.140625" style="18"/>
    <col min="269" max="269" width="16.28515625" style="18" customWidth="1"/>
    <col min="270" max="516" width="9.140625" style="18"/>
    <col min="517" max="517" width="21.42578125" style="18" customWidth="1"/>
    <col min="518" max="518" width="12.85546875" style="18" customWidth="1"/>
    <col min="519" max="520" width="11.28515625" style="18" customWidth="1"/>
    <col min="521" max="521" width="11.7109375" style="18" customWidth="1"/>
    <col min="522" max="522" width="13.28515625" style="18" customWidth="1"/>
    <col min="523" max="523" width="11.42578125" style="18" customWidth="1"/>
    <col min="524" max="524" width="9.140625" style="18"/>
    <col min="525" max="525" width="16.28515625" style="18" customWidth="1"/>
    <col min="526" max="772" width="9.140625" style="18"/>
    <col min="773" max="773" width="21.42578125" style="18" customWidth="1"/>
    <col min="774" max="774" width="12.85546875" style="18" customWidth="1"/>
    <col min="775" max="776" width="11.28515625" style="18" customWidth="1"/>
    <col min="777" max="777" width="11.7109375" style="18" customWidth="1"/>
    <col min="778" max="778" width="13.28515625" style="18" customWidth="1"/>
    <col min="779" max="779" width="11.42578125" style="18" customWidth="1"/>
    <col min="780" max="780" width="9.140625" style="18"/>
    <col min="781" max="781" width="16.28515625" style="18" customWidth="1"/>
    <col min="782" max="1028" width="9.140625" style="18"/>
    <col min="1029" max="1029" width="21.42578125" style="18" customWidth="1"/>
    <col min="1030" max="1030" width="12.85546875" style="18" customWidth="1"/>
    <col min="1031" max="1032" width="11.28515625" style="18" customWidth="1"/>
    <col min="1033" max="1033" width="11.7109375" style="18" customWidth="1"/>
    <col min="1034" max="1034" width="13.28515625" style="18" customWidth="1"/>
    <col min="1035" max="1035" width="11.42578125" style="18" customWidth="1"/>
    <col min="1036" max="1036" width="9.140625" style="18"/>
    <col min="1037" max="1037" width="16.28515625" style="18" customWidth="1"/>
    <col min="1038" max="1284" width="9.140625" style="18"/>
    <col min="1285" max="1285" width="21.42578125" style="18" customWidth="1"/>
    <col min="1286" max="1286" width="12.85546875" style="18" customWidth="1"/>
    <col min="1287" max="1288" width="11.28515625" style="18" customWidth="1"/>
    <col min="1289" max="1289" width="11.7109375" style="18" customWidth="1"/>
    <col min="1290" max="1290" width="13.28515625" style="18" customWidth="1"/>
    <col min="1291" max="1291" width="11.42578125" style="18" customWidth="1"/>
    <col min="1292" max="1292" width="9.140625" style="18"/>
    <col min="1293" max="1293" width="16.28515625" style="18" customWidth="1"/>
    <col min="1294" max="1540" width="9.140625" style="18"/>
    <col min="1541" max="1541" width="21.42578125" style="18" customWidth="1"/>
    <col min="1542" max="1542" width="12.85546875" style="18" customWidth="1"/>
    <col min="1543" max="1544" width="11.28515625" style="18" customWidth="1"/>
    <col min="1545" max="1545" width="11.7109375" style="18" customWidth="1"/>
    <col min="1546" max="1546" width="13.28515625" style="18" customWidth="1"/>
    <col min="1547" max="1547" width="11.42578125" style="18" customWidth="1"/>
    <col min="1548" max="1548" width="9.140625" style="18"/>
    <col min="1549" max="1549" width="16.28515625" style="18" customWidth="1"/>
    <col min="1550" max="1796" width="9.140625" style="18"/>
    <col min="1797" max="1797" width="21.42578125" style="18" customWidth="1"/>
    <col min="1798" max="1798" width="12.85546875" style="18" customWidth="1"/>
    <col min="1799" max="1800" width="11.28515625" style="18" customWidth="1"/>
    <col min="1801" max="1801" width="11.7109375" style="18" customWidth="1"/>
    <col min="1802" max="1802" width="13.28515625" style="18" customWidth="1"/>
    <col min="1803" max="1803" width="11.42578125" style="18" customWidth="1"/>
    <col min="1804" max="1804" width="9.140625" style="18"/>
    <col min="1805" max="1805" width="16.28515625" style="18" customWidth="1"/>
    <col min="1806" max="2052" width="9.140625" style="18"/>
    <col min="2053" max="2053" width="21.42578125" style="18" customWidth="1"/>
    <col min="2054" max="2054" width="12.85546875" style="18" customWidth="1"/>
    <col min="2055" max="2056" width="11.28515625" style="18" customWidth="1"/>
    <col min="2057" max="2057" width="11.7109375" style="18" customWidth="1"/>
    <col min="2058" max="2058" width="13.28515625" style="18" customWidth="1"/>
    <col min="2059" max="2059" width="11.42578125" style="18" customWidth="1"/>
    <col min="2060" max="2060" width="9.140625" style="18"/>
    <col min="2061" max="2061" width="16.28515625" style="18" customWidth="1"/>
    <col min="2062" max="2308" width="9.140625" style="18"/>
    <col min="2309" max="2309" width="21.42578125" style="18" customWidth="1"/>
    <col min="2310" max="2310" width="12.85546875" style="18" customWidth="1"/>
    <col min="2311" max="2312" width="11.28515625" style="18" customWidth="1"/>
    <col min="2313" max="2313" width="11.7109375" style="18" customWidth="1"/>
    <col min="2314" max="2314" width="13.28515625" style="18" customWidth="1"/>
    <col min="2315" max="2315" width="11.42578125" style="18" customWidth="1"/>
    <col min="2316" max="2316" width="9.140625" style="18"/>
    <col min="2317" max="2317" width="16.28515625" style="18" customWidth="1"/>
    <col min="2318" max="2564" width="9.140625" style="18"/>
    <col min="2565" max="2565" width="21.42578125" style="18" customWidth="1"/>
    <col min="2566" max="2566" width="12.85546875" style="18" customWidth="1"/>
    <col min="2567" max="2568" width="11.28515625" style="18" customWidth="1"/>
    <col min="2569" max="2569" width="11.7109375" style="18" customWidth="1"/>
    <col min="2570" max="2570" width="13.28515625" style="18" customWidth="1"/>
    <col min="2571" max="2571" width="11.42578125" style="18" customWidth="1"/>
    <col min="2572" max="2572" width="9.140625" style="18"/>
    <col min="2573" max="2573" width="16.28515625" style="18" customWidth="1"/>
    <col min="2574" max="2820" width="9.140625" style="18"/>
    <col min="2821" max="2821" width="21.42578125" style="18" customWidth="1"/>
    <col min="2822" max="2822" width="12.85546875" style="18" customWidth="1"/>
    <col min="2823" max="2824" width="11.28515625" style="18" customWidth="1"/>
    <col min="2825" max="2825" width="11.7109375" style="18" customWidth="1"/>
    <col min="2826" max="2826" width="13.28515625" style="18" customWidth="1"/>
    <col min="2827" max="2827" width="11.42578125" style="18" customWidth="1"/>
    <col min="2828" max="2828" width="9.140625" style="18"/>
    <col min="2829" max="2829" width="16.28515625" style="18" customWidth="1"/>
    <col min="2830" max="3076" width="9.140625" style="18"/>
    <col min="3077" max="3077" width="21.42578125" style="18" customWidth="1"/>
    <col min="3078" max="3078" width="12.85546875" style="18" customWidth="1"/>
    <col min="3079" max="3080" width="11.28515625" style="18" customWidth="1"/>
    <col min="3081" max="3081" width="11.7109375" style="18" customWidth="1"/>
    <col min="3082" max="3082" width="13.28515625" style="18" customWidth="1"/>
    <col min="3083" max="3083" width="11.42578125" style="18" customWidth="1"/>
    <col min="3084" max="3084" width="9.140625" style="18"/>
    <col min="3085" max="3085" width="16.28515625" style="18" customWidth="1"/>
    <col min="3086" max="3332" width="9.140625" style="18"/>
    <col min="3333" max="3333" width="21.42578125" style="18" customWidth="1"/>
    <col min="3334" max="3334" width="12.85546875" style="18" customWidth="1"/>
    <col min="3335" max="3336" width="11.28515625" style="18" customWidth="1"/>
    <col min="3337" max="3337" width="11.7109375" style="18" customWidth="1"/>
    <col min="3338" max="3338" width="13.28515625" style="18" customWidth="1"/>
    <col min="3339" max="3339" width="11.42578125" style="18" customWidth="1"/>
    <col min="3340" max="3340" width="9.140625" style="18"/>
    <col min="3341" max="3341" width="16.28515625" style="18" customWidth="1"/>
    <col min="3342" max="3588" width="9.140625" style="18"/>
    <col min="3589" max="3589" width="21.42578125" style="18" customWidth="1"/>
    <col min="3590" max="3590" width="12.85546875" style="18" customWidth="1"/>
    <col min="3591" max="3592" width="11.28515625" style="18" customWidth="1"/>
    <col min="3593" max="3593" width="11.7109375" style="18" customWidth="1"/>
    <col min="3594" max="3594" width="13.28515625" style="18" customWidth="1"/>
    <col min="3595" max="3595" width="11.42578125" style="18" customWidth="1"/>
    <col min="3596" max="3596" width="9.140625" style="18"/>
    <col min="3597" max="3597" width="16.28515625" style="18" customWidth="1"/>
    <col min="3598" max="3844" width="9.140625" style="18"/>
    <col min="3845" max="3845" width="21.42578125" style="18" customWidth="1"/>
    <col min="3846" max="3846" width="12.85546875" style="18" customWidth="1"/>
    <col min="3847" max="3848" width="11.28515625" style="18" customWidth="1"/>
    <col min="3849" max="3849" width="11.7109375" style="18" customWidth="1"/>
    <col min="3850" max="3850" width="13.28515625" style="18" customWidth="1"/>
    <col min="3851" max="3851" width="11.42578125" style="18" customWidth="1"/>
    <col min="3852" max="3852" width="9.140625" style="18"/>
    <col min="3853" max="3853" width="16.28515625" style="18" customWidth="1"/>
    <col min="3854" max="4100" width="9.140625" style="18"/>
    <col min="4101" max="4101" width="21.42578125" style="18" customWidth="1"/>
    <col min="4102" max="4102" width="12.85546875" style="18" customWidth="1"/>
    <col min="4103" max="4104" width="11.28515625" style="18" customWidth="1"/>
    <col min="4105" max="4105" width="11.7109375" style="18" customWidth="1"/>
    <col min="4106" max="4106" width="13.28515625" style="18" customWidth="1"/>
    <col min="4107" max="4107" width="11.42578125" style="18" customWidth="1"/>
    <col min="4108" max="4108" width="9.140625" style="18"/>
    <col min="4109" max="4109" width="16.28515625" style="18" customWidth="1"/>
    <col min="4110" max="4356" width="9.140625" style="18"/>
    <col min="4357" max="4357" width="21.42578125" style="18" customWidth="1"/>
    <col min="4358" max="4358" width="12.85546875" style="18" customWidth="1"/>
    <col min="4359" max="4360" width="11.28515625" style="18" customWidth="1"/>
    <col min="4361" max="4361" width="11.7109375" style="18" customWidth="1"/>
    <col min="4362" max="4362" width="13.28515625" style="18" customWidth="1"/>
    <col min="4363" max="4363" width="11.42578125" style="18" customWidth="1"/>
    <col min="4364" max="4364" width="9.140625" style="18"/>
    <col min="4365" max="4365" width="16.28515625" style="18" customWidth="1"/>
    <col min="4366" max="4612" width="9.140625" style="18"/>
    <col min="4613" max="4613" width="21.42578125" style="18" customWidth="1"/>
    <col min="4614" max="4614" width="12.85546875" style="18" customWidth="1"/>
    <col min="4615" max="4616" width="11.28515625" style="18" customWidth="1"/>
    <col min="4617" max="4617" width="11.7109375" style="18" customWidth="1"/>
    <col min="4618" max="4618" width="13.28515625" style="18" customWidth="1"/>
    <col min="4619" max="4619" width="11.42578125" style="18" customWidth="1"/>
    <col min="4620" max="4620" width="9.140625" style="18"/>
    <col min="4621" max="4621" width="16.28515625" style="18" customWidth="1"/>
    <col min="4622" max="4868" width="9.140625" style="18"/>
    <col min="4869" max="4869" width="21.42578125" style="18" customWidth="1"/>
    <col min="4870" max="4870" width="12.85546875" style="18" customWidth="1"/>
    <col min="4871" max="4872" width="11.28515625" style="18" customWidth="1"/>
    <col min="4873" max="4873" width="11.7109375" style="18" customWidth="1"/>
    <col min="4874" max="4874" width="13.28515625" style="18" customWidth="1"/>
    <col min="4875" max="4875" width="11.42578125" style="18" customWidth="1"/>
    <col min="4876" max="4876" width="9.140625" style="18"/>
    <col min="4877" max="4877" width="16.28515625" style="18" customWidth="1"/>
    <col min="4878" max="5124" width="9.140625" style="18"/>
    <col min="5125" max="5125" width="21.42578125" style="18" customWidth="1"/>
    <col min="5126" max="5126" width="12.85546875" style="18" customWidth="1"/>
    <col min="5127" max="5128" width="11.28515625" style="18" customWidth="1"/>
    <col min="5129" max="5129" width="11.7109375" style="18" customWidth="1"/>
    <col min="5130" max="5130" width="13.28515625" style="18" customWidth="1"/>
    <col min="5131" max="5131" width="11.42578125" style="18" customWidth="1"/>
    <col min="5132" max="5132" width="9.140625" style="18"/>
    <col min="5133" max="5133" width="16.28515625" style="18" customWidth="1"/>
    <col min="5134" max="5380" width="9.140625" style="18"/>
    <col min="5381" max="5381" width="21.42578125" style="18" customWidth="1"/>
    <col min="5382" max="5382" width="12.85546875" style="18" customWidth="1"/>
    <col min="5383" max="5384" width="11.28515625" style="18" customWidth="1"/>
    <col min="5385" max="5385" width="11.7109375" style="18" customWidth="1"/>
    <col min="5386" max="5386" width="13.28515625" style="18" customWidth="1"/>
    <col min="5387" max="5387" width="11.42578125" style="18" customWidth="1"/>
    <col min="5388" max="5388" width="9.140625" style="18"/>
    <col min="5389" max="5389" width="16.28515625" style="18" customWidth="1"/>
    <col min="5390" max="5636" width="9.140625" style="18"/>
    <col min="5637" max="5637" width="21.42578125" style="18" customWidth="1"/>
    <col min="5638" max="5638" width="12.85546875" style="18" customWidth="1"/>
    <col min="5639" max="5640" width="11.28515625" style="18" customWidth="1"/>
    <col min="5641" max="5641" width="11.7109375" style="18" customWidth="1"/>
    <col min="5642" max="5642" width="13.28515625" style="18" customWidth="1"/>
    <col min="5643" max="5643" width="11.42578125" style="18" customWidth="1"/>
    <col min="5644" max="5644" width="9.140625" style="18"/>
    <col min="5645" max="5645" width="16.28515625" style="18" customWidth="1"/>
    <col min="5646" max="5892" width="9.140625" style="18"/>
    <col min="5893" max="5893" width="21.42578125" style="18" customWidth="1"/>
    <col min="5894" max="5894" width="12.85546875" style="18" customWidth="1"/>
    <col min="5895" max="5896" width="11.28515625" style="18" customWidth="1"/>
    <col min="5897" max="5897" width="11.7109375" style="18" customWidth="1"/>
    <col min="5898" max="5898" width="13.28515625" style="18" customWidth="1"/>
    <col min="5899" max="5899" width="11.42578125" style="18" customWidth="1"/>
    <col min="5900" max="5900" width="9.140625" style="18"/>
    <col min="5901" max="5901" width="16.28515625" style="18" customWidth="1"/>
    <col min="5902" max="6148" width="9.140625" style="18"/>
    <col min="6149" max="6149" width="21.42578125" style="18" customWidth="1"/>
    <col min="6150" max="6150" width="12.85546875" style="18" customWidth="1"/>
    <col min="6151" max="6152" width="11.28515625" style="18" customWidth="1"/>
    <col min="6153" max="6153" width="11.7109375" style="18" customWidth="1"/>
    <col min="6154" max="6154" width="13.28515625" style="18" customWidth="1"/>
    <col min="6155" max="6155" width="11.42578125" style="18" customWidth="1"/>
    <col min="6156" max="6156" width="9.140625" style="18"/>
    <col min="6157" max="6157" width="16.28515625" style="18" customWidth="1"/>
    <col min="6158" max="6404" width="9.140625" style="18"/>
    <col min="6405" max="6405" width="21.42578125" style="18" customWidth="1"/>
    <col min="6406" max="6406" width="12.85546875" style="18" customWidth="1"/>
    <col min="6407" max="6408" width="11.28515625" style="18" customWidth="1"/>
    <col min="6409" max="6409" width="11.7109375" style="18" customWidth="1"/>
    <col min="6410" max="6410" width="13.28515625" style="18" customWidth="1"/>
    <col min="6411" max="6411" width="11.42578125" style="18" customWidth="1"/>
    <col min="6412" max="6412" width="9.140625" style="18"/>
    <col min="6413" max="6413" width="16.28515625" style="18" customWidth="1"/>
    <col min="6414" max="6660" width="9.140625" style="18"/>
    <col min="6661" max="6661" width="21.42578125" style="18" customWidth="1"/>
    <col min="6662" max="6662" width="12.85546875" style="18" customWidth="1"/>
    <col min="6663" max="6664" width="11.28515625" style="18" customWidth="1"/>
    <col min="6665" max="6665" width="11.7109375" style="18" customWidth="1"/>
    <col min="6666" max="6666" width="13.28515625" style="18" customWidth="1"/>
    <col min="6667" max="6667" width="11.42578125" style="18" customWidth="1"/>
    <col min="6668" max="6668" width="9.140625" style="18"/>
    <col min="6669" max="6669" width="16.28515625" style="18" customWidth="1"/>
    <col min="6670" max="6916" width="9.140625" style="18"/>
    <col min="6917" max="6917" width="21.42578125" style="18" customWidth="1"/>
    <col min="6918" max="6918" width="12.85546875" style="18" customWidth="1"/>
    <col min="6919" max="6920" width="11.28515625" style="18" customWidth="1"/>
    <col min="6921" max="6921" width="11.7109375" style="18" customWidth="1"/>
    <col min="6922" max="6922" width="13.28515625" style="18" customWidth="1"/>
    <col min="6923" max="6923" width="11.42578125" style="18" customWidth="1"/>
    <col min="6924" max="6924" width="9.140625" style="18"/>
    <col min="6925" max="6925" width="16.28515625" style="18" customWidth="1"/>
    <col min="6926" max="7172" width="9.140625" style="18"/>
    <col min="7173" max="7173" width="21.42578125" style="18" customWidth="1"/>
    <col min="7174" max="7174" width="12.85546875" style="18" customWidth="1"/>
    <col min="7175" max="7176" width="11.28515625" style="18" customWidth="1"/>
    <col min="7177" max="7177" width="11.7109375" style="18" customWidth="1"/>
    <col min="7178" max="7178" width="13.28515625" style="18" customWidth="1"/>
    <col min="7179" max="7179" width="11.42578125" style="18" customWidth="1"/>
    <col min="7180" max="7180" width="9.140625" style="18"/>
    <col min="7181" max="7181" width="16.28515625" style="18" customWidth="1"/>
    <col min="7182" max="7428" width="9.140625" style="18"/>
    <col min="7429" max="7429" width="21.42578125" style="18" customWidth="1"/>
    <col min="7430" max="7430" width="12.85546875" style="18" customWidth="1"/>
    <col min="7431" max="7432" width="11.28515625" style="18" customWidth="1"/>
    <col min="7433" max="7433" width="11.7109375" style="18" customWidth="1"/>
    <col min="7434" max="7434" width="13.28515625" style="18" customWidth="1"/>
    <col min="7435" max="7435" width="11.42578125" style="18" customWidth="1"/>
    <col min="7436" max="7436" width="9.140625" style="18"/>
    <col min="7437" max="7437" width="16.28515625" style="18" customWidth="1"/>
    <col min="7438" max="7684" width="9.140625" style="18"/>
    <col min="7685" max="7685" width="21.42578125" style="18" customWidth="1"/>
    <col min="7686" max="7686" width="12.85546875" style="18" customWidth="1"/>
    <col min="7687" max="7688" width="11.28515625" style="18" customWidth="1"/>
    <col min="7689" max="7689" width="11.7109375" style="18" customWidth="1"/>
    <col min="7690" max="7690" width="13.28515625" style="18" customWidth="1"/>
    <col min="7691" max="7691" width="11.42578125" style="18" customWidth="1"/>
    <col min="7692" max="7692" width="9.140625" style="18"/>
    <col min="7693" max="7693" width="16.28515625" style="18" customWidth="1"/>
    <col min="7694" max="7940" width="9.140625" style="18"/>
    <col min="7941" max="7941" width="21.42578125" style="18" customWidth="1"/>
    <col min="7942" max="7942" width="12.85546875" style="18" customWidth="1"/>
    <col min="7943" max="7944" width="11.28515625" style="18" customWidth="1"/>
    <col min="7945" max="7945" width="11.7109375" style="18" customWidth="1"/>
    <col min="7946" max="7946" width="13.28515625" style="18" customWidth="1"/>
    <col min="7947" max="7947" width="11.42578125" style="18" customWidth="1"/>
    <col min="7948" max="7948" width="9.140625" style="18"/>
    <col min="7949" max="7949" width="16.28515625" style="18" customWidth="1"/>
    <col min="7950" max="8196" width="9.140625" style="18"/>
    <col min="8197" max="8197" width="21.42578125" style="18" customWidth="1"/>
    <col min="8198" max="8198" width="12.85546875" style="18" customWidth="1"/>
    <col min="8199" max="8200" width="11.28515625" style="18" customWidth="1"/>
    <col min="8201" max="8201" width="11.7109375" style="18" customWidth="1"/>
    <col min="8202" max="8202" width="13.28515625" style="18" customWidth="1"/>
    <col min="8203" max="8203" width="11.42578125" style="18" customWidth="1"/>
    <col min="8204" max="8204" width="9.140625" style="18"/>
    <col min="8205" max="8205" width="16.28515625" style="18" customWidth="1"/>
    <col min="8206" max="8452" width="9.140625" style="18"/>
    <col min="8453" max="8453" width="21.42578125" style="18" customWidth="1"/>
    <col min="8454" max="8454" width="12.85546875" style="18" customWidth="1"/>
    <col min="8455" max="8456" width="11.28515625" style="18" customWidth="1"/>
    <col min="8457" max="8457" width="11.7109375" style="18" customWidth="1"/>
    <col min="8458" max="8458" width="13.28515625" style="18" customWidth="1"/>
    <col min="8459" max="8459" width="11.42578125" style="18" customWidth="1"/>
    <col min="8460" max="8460" width="9.140625" style="18"/>
    <col min="8461" max="8461" width="16.28515625" style="18" customWidth="1"/>
    <col min="8462" max="8708" width="9.140625" style="18"/>
    <col min="8709" max="8709" width="21.42578125" style="18" customWidth="1"/>
    <col min="8710" max="8710" width="12.85546875" style="18" customWidth="1"/>
    <col min="8711" max="8712" width="11.28515625" style="18" customWidth="1"/>
    <col min="8713" max="8713" width="11.7109375" style="18" customWidth="1"/>
    <col min="8714" max="8714" width="13.28515625" style="18" customWidth="1"/>
    <col min="8715" max="8715" width="11.42578125" style="18" customWidth="1"/>
    <col min="8716" max="8716" width="9.140625" style="18"/>
    <col min="8717" max="8717" width="16.28515625" style="18" customWidth="1"/>
    <col min="8718" max="8964" width="9.140625" style="18"/>
    <col min="8965" max="8965" width="21.42578125" style="18" customWidth="1"/>
    <col min="8966" max="8966" width="12.85546875" style="18" customWidth="1"/>
    <col min="8967" max="8968" width="11.28515625" style="18" customWidth="1"/>
    <col min="8969" max="8969" width="11.7109375" style="18" customWidth="1"/>
    <col min="8970" max="8970" width="13.28515625" style="18" customWidth="1"/>
    <col min="8971" max="8971" width="11.42578125" style="18" customWidth="1"/>
    <col min="8972" max="8972" width="9.140625" style="18"/>
    <col min="8973" max="8973" width="16.28515625" style="18" customWidth="1"/>
    <col min="8974" max="9220" width="9.140625" style="18"/>
    <col min="9221" max="9221" width="21.42578125" style="18" customWidth="1"/>
    <col min="9222" max="9222" width="12.85546875" style="18" customWidth="1"/>
    <col min="9223" max="9224" width="11.28515625" style="18" customWidth="1"/>
    <col min="9225" max="9225" width="11.7109375" style="18" customWidth="1"/>
    <col min="9226" max="9226" width="13.28515625" style="18" customWidth="1"/>
    <col min="9227" max="9227" width="11.42578125" style="18" customWidth="1"/>
    <col min="9228" max="9228" width="9.140625" style="18"/>
    <col min="9229" max="9229" width="16.28515625" style="18" customWidth="1"/>
    <col min="9230" max="9476" width="9.140625" style="18"/>
    <col min="9477" max="9477" width="21.42578125" style="18" customWidth="1"/>
    <col min="9478" max="9478" width="12.85546875" style="18" customWidth="1"/>
    <col min="9479" max="9480" width="11.28515625" style="18" customWidth="1"/>
    <col min="9481" max="9481" width="11.7109375" style="18" customWidth="1"/>
    <col min="9482" max="9482" width="13.28515625" style="18" customWidth="1"/>
    <col min="9483" max="9483" width="11.42578125" style="18" customWidth="1"/>
    <col min="9484" max="9484" width="9.140625" style="18"/>
    <col min="9485" max="9485" width="16.28515625" style="18" customWidth="1"/>
    <col min="9486" max="9732" width="9.140625" style="18"/>
    <col min="9733" max="9733" width="21.42578125" style="18" customWidth="1"/>
    <col min="9734" max="9734" width="12.85546875" style="18" customWidth="1"/>
    <col min="9735" max="9736" width="11.28515625" style="18" customWidth="1"/>
    <col min="9737" max="9737" width="11.7109375" style="18" customWidth="1"/>
    <col min="9738" max="9738" width="13.28515625" style="18" customWidth="1"/>
    <col min="9739" max="9739" width="11.42578125" style="18" customWidth="1"/>
    <col min="9740" max="9740" width="9.140625" style="18"/>
    <col min="9741" max="9741" width="16.28515625" style="18" customWidth="1"/>
    <col min="9742" max="9988" width="9.140625" style="18"/>
    <col min="9989" max="9989" width="21.42578125" style="18" customWidth="1"/>
    <col min="9990" max="9990" width="12.85546875" style="18" customWidth="1"/>
    <col min="9991" max="9992" width="11.28515625" style="18" customWidth="1"/>
    <col min="9993" max="9993" width="11.7109375" style="18" customWidth="1"/>
    <col min="9994" max="9994" width="13.28515625" style="18" customWidth="1"/>
    <col min="9995" max="9995" width="11.42578125" style="18" customWidth="1"/>
    <col min="9996" max="9996" width="9.140625" style="18"/>
    <col min="9997" max="9997" width="16.28515625" style="18" customWidth="1"/>
    <col min="9998" max="10244" width="9.140625" style="18"/>
    <col min="10245" max="10245" width="21.42578125" style="18" customWidth="1"/>
    <col min="10246" max="10246" width="12.85546875" style="18" customWidth="1"/>
    <col min="10247" max="10248" width="11.28515625" style="18" customWidth="1"/>
    <col min="10249" max="10249" width="11.7109375" style="18" customWidth="1"/>
    <col min="10250" max="10250" width="13.28515625" style="18" customWidth="1"/>
    <col min="10251" max="10251" width="11.42578125" style="18" customWidth="1"/>
    <col min="10252" max="10252" width="9.140625" style="18"/>
    <col min="10253" max="10253" width="16.28515625" style="18" customWidth="1"/>
    <col min="10254" max="10500" width="9.140625" style="18"/>
    <col min="10501" max="10501" width="21.42578125" style="18" customWidth="1"/>
    <col min="10502" max="10502" width="12.85546875" style="18" customWidth="1"/>
    <col min="10503" max="10504" width="11.28515625" style="18" customWidth="1"/>
    <col min="10505" max="10505" width="11.7109375" style="18" customWidth="1"/>
    <col min="10506" max="10506" width="13.28515625" style="18" customWidth="1"/>
    <col min="10507" max="10507" width="11.42578125" style="18" customWidth="1"/>
    <col min="10508" max="10508" width="9.140625" style="18"/>
    <col min="10509" max="10509" width="16.28515625" style="18" customWidth="1"/>
    <col min="10510" max="10756" width="9.140625" style="18"/>
    <col min="10757" max="10757" width="21.42578125" style="18" customWidth="1"/>
    <col min="10758" max="10758" width="12.85546875" style="18" customWidth="1"/>
    <col min="10759" max="10760" width="11.28515625" style="18" customWidth="1"/>
    <col min="10761" max="10761" width="11.7109375" style="18" customWidth="1"/>
    <col min="10762" max="10762" width="13.28515625" style="18" customWidth="1"/>
    <col min="10763" max="10763" width="11.42578125" style="18" customWidth="1"/>
    <col min="10764" max="10764" width="9.140625" style="18"/>
    <col min="10765" max="10765" width="16.28515625" style="18" customWidth="1"/>
    <col min="10766" max="11012" width="9.140625" style="18"/>
    <col min="11013" max="11013" width="21.42578125" style="18" customWidth="1"/>
    <col min="11014" max="11014" width="12.85546875" style="18" customWidth="1"/>
    <col min="11015" max="11016" width="11.28515625" style="18" customWidth="1"/>
    <col min="11017" max="11017" width="11.7109375" style="18" customWidth="1"/>
    <col min="11018" max="11018" width="13.28515625" style="18" customWidth="1"/>
    <col min="11019" max="11019" width="11.42578125" style="18" customWidth="1"/>
    <col min="11020" max="11020" width="9.140625" style="18"/>
    <col min="11021" max="11021" width="16.28515625" style="18" customWidth="1"/>
    <col min="11022" max="11268" width="9.140625" style="18"/>
    <col min="11269" max="11269" width="21.42578125" style="18" customWidth="1"/>
    <col min="11270" max="11270" width="12.85546875" style="18" customWidth="1"/>
    <col min="11271" max="11272" width="11.28515625" style="18" customWidth="1"/>
    <col min="11273" max="11273" width="11.7109375" style="18" customWidth="1"/>
    <col min="11274" max="11274" width="13.28515625" style="18" customWidth="1"/>
    <col min="11275" max="11275" width="11.42578125" style="18" customWidth="1"/>
    <col min="11276" max="11276" width="9.140625" style="18"/>
    <col min="11277" max="11277" width="16.28515625" style="18" customWidth="1"/>
    <col min="11278" max="11524" width="9.140625" style="18"/>
    <col min="11525" max="11525" width="21.42578125" style="18" customWidth="1"/>
    <col min="11526" max="11526" width="12.85546875" style="18" customWidth="1"/>
    <col min="11527" max="11528" width="11.28515625" style="18" customWidth="1"/>
    <col min="11529" max="11529" width="11.7109375" style="18" customWidth="1"/>
    <col min="11530" max="11530" width="13.28515625" style="18" customWidth="1"/>
    <col min="11531" max="11531" width="11.42578125" style="18" customWidth="1"/>
    <col min="11532" max="11532" width="9.140625" style="18"/>
    <col min="11533" max="11533" width="16.28515625" style="18" customWidth="1"/>
    <col min="11534" max="11780" width="9.140625" style="18"/>
    <col min="11781" max="11781" width="21.42578125" style="18" customWidth="1"/>
    <col min="11782" max="11782" width="12.85546875" style="18" customWidth="1"/>
    <col min="11783" max="11784" width="11.28515625" style="18" customWidth="1"/>
    <col min="11785" max="11785" width="11.7109375" style="18" customWidth="1"/>
    <col min="11786" max="11786" width="13.28515625" style="18" customWidth="1"/>
    <col min="11787" max="11787" width="11.42578125" style="18" customWidth="1"/>
    <col min="11788" max="11788" width="9.140625" style="18"/>
    <col min="11789" max="11789" width="16.28515625" style="18" customWidth="1"/>
    <col min="11790" max="12036" width="9.140625" style="18"/>
    <col min="12037" max="12037" width="21.42578125" style="18" customWidth="1"/>
    <col min="12038" max="12038" width="12.85546875" style="18" customWidth="1"/>
    <col min="12039" max="12040" width="11.28515625" style="18" customWidth="1"/>
    <col min="12041" max="12041" width="11.7109375" style="18" customWidth="1"/>
    <col min="12042" max="12042" width="13.28515625" style="18" customWidth="1"/>
    <col min="12043" max="12043" width="11.42578125" style="18" customWidth="1"/>
    <col min="12044" max="12044" width="9.140625" style="18"/>
    <col min="12045" max="12045" width="16.28515625" style="18" customWidth="1"/>
    <col min="12046" max="12292" width="9.140625" style="18"/>
    <col min="12293" max="12293" width="21.42578125" style="18" customWidth="1"/>
    <col min="12294" max="12294" width="12.85546875" style="18" customWidth="1"/>
    <col min="12295" max="12296" width="11.28515625" style="18" customWidth="1"/>
    <col min="12297" max="12297" width="11.7109375" style="18" customWidth="1"/>
    <col min="12298" max="12298" width="13.28515625" style="18" customWidth="1"/>
    <col min="12299" max="12299" width="11.42578125" style="18" customWidth="1"/>
    <col min="12300" max="12300" width="9.140625" style="18"/>
    <col min="12301" max="12301" width="16.28515625" style="18" customWidth="1"/>
    <col min="12302" max="12548" width="9.140625" style="18"/>
    <col min="12549" max="12549" width="21.42578125" style="18" customWidth="1"/>
    <col min="12550" max="12550" width="12.85546875" style="18" customWidth="1"/>
    <col min="12551" max="12552" width="11.28515625" style="18" customWidth="1"/>
    <col min="12553" max="12553" width="11.7109375" style="18" customWidth="1"/>
    <col min="12554" max="12554" width="13.28515625" style="18" customWidth="1"/>
    <col min="12555" max="12555" width="11.42578125" style="18" customWidth="1"/>
    <col min="12556" max="12556" width="9.140625" style="18"/>
    <col min="12557" max="12557" width="16.28515625" style="18" customWidth="1"/>
    <col min="12558" max="12804" width="9.140625" style="18"/>
    <col min="12805" max="12805" width="21.42578125" style="18" customWidth="1"/>
    <col min="12806" max="12806" width="12.85546875" style="18" customWidth="1"/>
    <col min="12807" max="12808" width="11.28515625" style="18" customWidth="1"/>
    <col min="12809" max="12809" width="11.7109375" style="18" customWidth="1"/>
    <col min="12810" max="12810" width="13.28515625" style="18" customWidth="1"/>
    <col min="12811" max="12811" width="11.42578125" style="18" customWidth="1"/>
    <col min="12812" max="12812" width="9.140625" style="18"/>
    <col min="12813" max="12813" width="16.28515625" style="18" customWidth="1"/>
    <col min="12814" max="13060" width="9.140625" style="18"/>
    <col min="13061" max="13061" width="21.42578125" style="18" customWidth="1"/>
    <col min="13062" max="13062" width="12.85546875" style="18" customWidth="1"/>
    <col min="13063" max="13064" width="11.28515625" style="18" customWidth="1"/>
    <col min="13065" max="13065" width="11.7109375" style="18" customWidth="1"/>
    <col min="13066" max="13066" width="13.28515625" style="18" customWidth="1"/>
    <col min="13067" max="13067" width="11.42578125" style="18" customWidth="1"/>
    <col min="13068" max="13068" width="9.140625" style="18"/>
    <col min="13069" max="13069" width="16.28515625" style="18" customWidth="1"/>
    <col min="13070" max="13316" width="9.140625" style="18"/>
    <col min="13317" max="13317" width="21.42578125" style="18" customWidth="1"/>
    <col min="13318" max="13318" width="12.85546875" style="18" customWidth="1"/>
    <col min="13319" max="13320" width="11.28515625" style="18" customWidth="1"/>
    <col min="13321" max="13321" width="11.7109375" style="18" customWidth="1"/>
    <col min="13322" max="13322" width="13.28515625" style="18" customWidth="1"/>
    <col min="13323" max="13323" width="11.42578125" style="18" customWidth="1"/>
    <col min="13324" max="13324" width="9.140625" style="18"/>
    <col min="13325" max="13325" width="16.28515625" style="18" customWidth="1"/>
    <col min="13326" max="13572" width="9.140625" style="18"/>
    <col min="13573" max="13573" width="21.42578125" style="18" customWidth="1"/>
    <col min="13574" max="13574" width="12.85546875" style="18" customWidth="1"/>
    <col min="13575" max="13576" width="11.28515625" style="18" customWidth="1"/>
    <col min="13577" max="13577" width="11.7109375" style="18" customWidth="1"/>
    <col min="13578" max="13578" width="13.28515625" style="18" customWidth="1"/>
    <col min="13579" max="13579" width="11.42578125" style="18" customWidth="1"/>
    <col min="13580" max="13580" width="9.140625" style="18"/>
    <col min="13581" max="13581" width="16.28515625" style="18" customWidth="1"/>
    <col min="13582" max="13828" width="9.140625" style="18"/>
    <col min="13829" max="13829" width="21.42578125" style="18" customWidth="1"/>
    <col min="13830" max="13830" width="12.85546875" style="18" customWidth="1"/>
    <col min="13831" max="13832" width="11.28515625" style="18" customWidth="1"/>
    <col min="13833" max="13833" width="11.7109375" style="18" customWidth="1"/>
    <col min="13834" max="13834" width="13.28515625" style="18" customWidth="1"/>
    <col min="13835" max="13835" width="11.42578125" style="18" customWidth="1"/>
    <col min="13836" max="13836" width="9.140625" style="18"/>
    <col min="13837" max="13837" width="16.28515625" style="18" customWidth="1"/>
    <col min="13838" max="14084" width="9.140625" style="18"/>
    <col min="14085" max="14085" width="21.42578125" style="18" customWidth="1"/>
    <col min="14086" max="14086" width="12.85546875" style="18" customWidth="1"/>
    <col min="14087" max="14088" width="11.28515625" style="18" customWidth="1"/>
    <col min="14089" max="14089" width="11.7109375" style="18" customWidth="1"/>
    <col min="14090" max="14090" width="13.28515625" style="18" customWidth="1"/>
    <col min="14091" max="14091" width="11.42578125" style="18" customWidth="1"/>
    <col min="14092" max="14092" width="9.140625" style="18"/>
    <col min="14093" max="14093" width="16.28515625" style="18" customWidth="1"/>
    <col min="14094" max="14340" width="9.140625" style="18"/>
    <col min="14341" max="14341" width="21.42578125" style="18" customWidth="1"/>
    <col min="14342" max="14342" width="12.85546875" style="18" customWidth="1"/>
    <col min="14343" max="14344" width="11.28515625" style="18" customWidth="1"/>
    <col min="14345" max="14345" width="11.7109375" style="18" customWidth="1"/>
    <col min="14346" max="14346" width="13.28515625" style="18" customWidth="1"/>
    <col min="14347" max="14347" width="11.42578125" style="18" customWidth="1"/>
    <col min="14348" max="14348" width="9.140625" style="18"/>
    <col min="14349" max="14349" width="16.28515625" style="18" customWidth="1"/>
    <col min="14350" max="14596" width="9.140625" style="18"/>
    <col min="14597" max="14597" width="21.42578125" style="18" customWidth="1"/>
    <col min="14598" max="14598" width="12.85546875" style="18" customWidth="1"/>
    <col min="14599" max="14600" width="11.28515625" style="18" customWidth="1"/>
    <col min="14601" max="14601" width="11.7109375" style="18" customWidth="1"/>
    <col min="14602" max="14602" width="13.28515625" style="18" customWidth="1"/>
    <col min="14603" max="14603" width="11.42578125" style="18" customWidth="1"/>
    <col min="14604" max="14604" width="9.140625" style="18"/>
    <col min="14605" max="14605" width="16.28515625" style="18" customWidth="1"/>
    <col min="14606" max="14852" width="9.140625" style="18"/>
    <col min="14853" max="14853" width="21.42578125" style="18" customWidth="1"/>
    <col min="14854" max="14854" width="12.85546875" style="18" customWidth="1"/>
    <col min="14855" max="14856" width="11.28515625" style="18" customWidth="1"/>
    <col min="14857" max="14857" width="11.7109375" style="18" customWidth="1"/>
    <col min="14858" max="14858" width="13.28515625" style="18" customWidth="1"/>
    <col min="14859" max="14859" width="11.42578125" style="18" customWidth="1"/>
    <col min="14860" max="14860" width="9.140625" style="18"/>
    <col min="14861" max="14861" width="16.28515625" style="18" customWidth="1"/>
    <col min="14862" max="15108" width="9.140625" style="18"/>
    <col min="15109" max="15109" width="21.42578125" style="18" customWidth="1"/>
    <col min="15110" max="15110" width="12.85546875" style="18" customWidth="1"/>
    <col min="15111" max="15112" width="11.28515625" style="18" customWidth="1"/>
    <col min="15113" max="15113" width="11.7109375" style="18" customWidth="1"/>
    <col min="15114" max="15114" width="13.28515625" style="18" customWidth="1"/>
    <col min="15115" max="15115" width="11.42578125" style="18" customWidth="1"/>
    <col min="15116" max="15116" width="9.140625" style="18"/>
    <col min="15117" max="15117" width="16.28515625" style="18" customWidth="1"/>
    <col min="15118" max="15364" width="9.140625" style="18"/>
    <col min="15365" max="15365" width="21.42578125" style="18" customWidth="1"/>
    <col min="15366" max="15366" width="12.85546875" style="18" customWidth="1"/>
    <col min="15367" max="15368" width="11.28515625" style="18" customWidth="1"/>
    <col min="15369" max="15369" width="11.7109375" style="18" customWidth="1"/>
    <col min="15370" max="15370" width="13.28515625" style="18" customWidth="1"/>
    <col min="15371" max="15371" width="11.42578125" style="18" customWidth="1"/>
    <col min="15372" max="15372" width="9.140625" style="18"/>
    <col min="15373" max="15373" width="16.28515625" style="18" customWidth="1"/>
    <col min="15374" max="15620" width="9.140625" style="18"/>
    <col min="15621" max="15621" width="21.42578125" style="18" customWidth="1"/>
    <col min="15622" max="15622" width="12.85546875" style="18" customWidth="1"/>
    <col min="15623" max="15624" width="11.28515625" style="18" customWidth="1"/>
    <col min="15625" max="15625" width="11.7109375" style="18" customWidth="1"/>
    <col min="15626" max="15626" width="13.28515625" style="18" customWidth="1"/>
    <col min="15627" max="15627" width="11.42578125" style="18" customWidth="1"/>
    <col min="15628" max="15628" width="9.140625" style="18"/>
    <col min="15629" max="15629" width="16.28515625" style="18" customWidth="1"/>
    <col min="15630" max="15876" width="9.140625" style="18"/>
    <col min="15877" max="15877" width="21.42578125" style="18" customWidth="1"/>
    <col min="15878" max="15878" width="12.85546875" style="18" customWidth="1"/>
    <col min="15879" max="15880" width="11.28515625" style="18" customWidth="1"/>
    <col min="15881" max="15881" width="11.7109375" style="18" customWidth="1"/>
    <col min="15882" max="15882" width="13.28515625" style="18" customWidth="1"/>
    <col min="15883" max="15883" width="11.42578125" style="18" customWidth="1"/>
    <col min="15884" max="15884" width="9.140625" style="18"/>
    <col min="15885" max="15885" width="16.28515625" style="18" customWidth="1"/>
    <col min="15886" max="16132" width="9.140625" style="18"/>
    <col min="16133" max="16133" width="21.42578125" style="18" customWidth="1"/>
    <col min="16134" max="16134" width="12.85546875" style="18" customWidth="1"/>
    <col min="16135" max="16136" width="11.28515625" style="18" customWidth="1"/>
    <col min="16137" max="16137" width="11.7109375" style="18" customWidth="1"/>
    <col min="16138" max="16138" width="13.28515625" style="18" customWidth="1"/>
    <col min="16139" max="16139" width="11.42578125" style="18" customWidth="1"/>
    <col min="16140" max="16140" width="9.140625" style="18"/>
    <col min="16141" max="16141" width="16.28515625" style="18" customWidth="1"/>
    <col min="16142" max="16384" width="9.140625" style="18"/>
  </cols>
  <sheetData>
    <row r="1" spans="1:13" x14ac:dyDescent="0.2">
      <c r="A1" s="564" t="s">
        <v>411</v>
      </c>
      <c r="B1" s="107"/>
      <c r="C1" s="107"/>
      <c r="D1" s="107"/>
    </row>
    <row r="3" spans="1:13" ht="45.75" customHeight="1" x14ac:dyDescent="0.2">
      <c r="A3" s="989" t="s">
        <v>132</v>
      </c>
      <c r="B3" s="1073" t="s">
        <v>50</v>
      </c>
      <c r="C3" s="1073"/>
      <c r="D3" s="1073"/>
      <c r="E3" s="1073"/>
      <c r="F3" s="985" t="s">
        <v>339</v>
      </c>
      <c r="G3" s="986"/>
      <c r="H3" s="987"/>
      <c r="I3" s="1073" t="s">
        <v>51</v>
      </c>
      <c r="J3" s="1073"/>
      <c r="K3" s="1073"/>
      <c r="L3" s="989" t="s">
        <v>189</v>
      </c>
      <c r="M3" s="988" t="s">
        <v>52</v>
      </c>
    </row>
    <row r="4" spans="1:13" ht="24.75" customHeight="1" x14ac:dyDescent="0.2">
      <c r="A4" s="990"/>
      <c r="B4" s="100" t="s">
        <v>53</v>
      </c>
      <c r="C4" s="17" t="s">
        <v>135</v>
      </c>
      <c r="D4" s="17" t="s">
        <v>136</v>
      </c>
      <c r="E4" s="100" t="s">
        <v>33</v>
      </c>
      <c r="F4" s="438" t="s">
        <v>53</v>
      </c>
      <c r="G4" s="427" t="s">
        <v>54</v>
      </c>
      <c r="H4" s="438" t="s">
        <v>33</v>
      </c>
      <c r="I4" s="100" t="s">
        <v>53</v>
      </c>
      <c r="J4" s="100" t="s">
        <v>54</v>
      </c>
      <c r="K4" s="100" t="s">
        <v>33</v>
      </c>
      <c r="L4" s="990"/>
      <c r="M4" s="988"/>
    </row>
    <row r="5" spans="1:13" x14ac:dyDescent="0.2">
      <c r="A5" s="38" t="s">
        <v>8</v>
      </c>
      <c r="B5" s="195">
        <v>0</v>
      </c>
      <c r="C5" s="195">
        <v>0</v>
      </c>
      <c r="D5" s="195">
        <v>0</v>
      </c>
      <c r="E5" s="195">
        <f>B5*(C5+D5)</f>
        <v>0</v>
      </c>
      <c r="F5" s="195">
        <v>0</v>
      </c>
      <c r="G5" s="195">
        <v>0</v>
      </c>
      <c r="H5" s="195">
        <f>F5*G5</f>
        <v>0</v>
      </c>
      <c r="I5" s="195">
        <v>1</v>
      </c>
      <c r="J5" s="195">
        <v>0</v>
      </c>
      <c r="K5" s="195">
        <f>I5*J5</f>
        <v>0</v>
      </c>
      <c r="L5" s="195">
        <v>1.05</v>
      </c>
      <c r="M5" s="195">
        <f>(E5+H5+K5)*L5*1.2</f>
        <v>0</v>
      </c>
    </row>
  </sheetData>
  <mergeCells count="6">
    <mergeCell ref="A3:A4"/>
    <mergeCell ref="B3:E3"/>
    <mergeCell ref="I3:K3"/>
    <mergeCell ref="M3:M4"/>
    <mergeCell ref="L3:L4"/>
    <mergeCell ref="F3:H3"/>
  </mergeCells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pageSetUpPr fitToPage="1"/>
  </sheetPr>
  <dimension ref="A1:M28"/>
  <sheetViews>
    <sheetView zoomScale="110" zoomScaleNormal="110" workbookViewId="0">
      <selection activeCell="I22" sqref="I22"/>
    </sheetView>
  </sheetViews>
  <sheetFormatPr defaultColWidth="9.140625" defaultRowHeight="12.75" x14ac:dyDescent="0.2"/>
  <cols>
    <col min="1" max="1" width="42.5703125" style="68" customWidth="1"/>
    <col min="2" max="2" width="12.7109375" style="68" customWidth="1"/>
    <col min="3" max="3" width="15.85546875" style="68" customWidth="1"/>
    <col min="4" max="4" width="9.140625" style="68" customWidth="1"/>
    <col min="5" max="5" width="11.85546875" style="68" customWidth="1"/>
    <col min="6" max="7" width="13.7109375" style="68" customWidth="1"/>
    <col min="8" max="8" width="18" style="68" customWidth="1"/>
    <col min="9" max="9" width="10.140625" style="68" customWidth="1"/>
    <col min="10" max="16384" width="9.140625" style="68"/>
  </cols>
  <sheetData>
    <row r="1" spans="1:13" x14ac:dyDescent="0.2">
      <c r="A1" s="1132" t="s">
        <v>413</v>
      </c>
      <c r="B1" s="1133"/>
      <c r="C1" s="1133"/>
      <c r="D1" s="1133"/>
      <c r="E1" s="1133"/>
      <c r="F1" s="1133"/>
      <c r="G1" s="1133"/>
      <c r="H1" s="1133"/>
      <c r="I1" s="429"/>
    </row>
    <row r="2" spans="1:13" ht="114" customHeight="1" x14ac:dyDescent="0.2">
      <c r="A2" s="375" t="s">
        <v>132</v>
      </c>
      <c r="B2" s="426" t="str">
        <f>'Обслуживание АПС'!B2</f>
        <v xml:space="preserve">Нормативная численность обучающихся </v>
      </c>
      <c r="C2" s="430" t="s">
        <v>329</v>
      </c>
      <c r="D2" s="430" t="s">
        <v>49</v>
      </c>
      <c r="E2" s="430" t="s">
        <v>322</v>
      </c>
      <c r="F2" s="430" t="s">
        <v>323</v>
      </c>
      <c r="G2" s="375" t="s">
        <v>134</v>
      </c>
      <c r="H2" s="375" t="s">
        <v>6</v>
      </c>
      <c r="I2" s="116"/>
      <c r="J2" s="116"/>
      <c r="K2" s="116"/>
      <c r="L2" s="116"/>
      <c r="M2" s="116"/>
    </row>
    <row r="3" spans="1:13" s="662" customFormat="1" ht="12.75" customHeight="1" x14ac:dyDescent="0.2">
      <c r="A3" s="1121" t="str">
        <f>Аутсорсинг!A4</f>
        <v>МАДОУ ЦРР-детский сад № 2</v>
      </c>
      <c r="B3" s="1086">
        <f>'Обслуживание АПС'!B3</f>
        <v>506</v>
      </c>
      <c r="C3" s="253">
        <v>1</v>
      </c>
      <c r="D3" s="658">
        <v>12</v>
      </c>
      <c r="E3" s="1126">
        <f>ROUND((C3+C4+C5+C6)*D3/B3,3)</f>
        <v>9.5000000000000001E-2</v>
      </c>
      <c r="F3" s="659">
        <v>500</v>
      </c>
      <c r="G3" s="691">
        <f>C3*D3*F3</f>
        <v>6000</v>
      </c>
      <c r="H3" s="1097">
        <f>G3+G4+G5+G6</f>
        <v>24000</v>
      </c>
      <c r="I3" s="1120"/>
      <c r="J3" s="662" t="s">
        <v>580</v>
      </c>
    </row>
    <row r="4" spans="1:13" s="662" customFormat="1" ht="12.75" customHeight="1" x14ac:dyDescent="0.2">
      <c r="A4" s="1123"/>
      <c r="B4" s="1087"/>
      <c r="C4" s="253">
        <v>1</v>
      </c>
      <c r="D4" s="658">
        <v>12</v>
      </c>
      <c r="E4" s="1131"/>
      <c r="F4" s="659">
        <v>500</v>
      </c>
      <c r="G4" s="691">
        <f t="shared" ref="G4:G26" si="0">C4*D4*F4</f>
        <v>6000</v>
      </c>
      <c r="H4" s="1124"/>
      <c r="I4" s="1120"/>
    </row>
    <row r="5" spans="1:13" s="662" customFormat="1" ht="12.75" customHeight="1" x14ac:dyDescent="0.2">
      <c r="A5" s="1123"/>
      <c r="B5" s="1087"/>
      <c r="C5" s="253">
        <v>1</v>
      </c>
      <c r="D5" s="658">
        <v>12</v>
      </c>
      <c r="E5" s="1131"/>
      <c r="F5" s="659">
        <v>500</v>
      </c>
      <c r="G5" s="691">
        <f t="shared" si="0"/>
        <v>6000</v>
      </c>
      <c r="H5" s="1124"/>
      <c r="I5" s="709"/>
    </row>
    <row r="6" spans="1:13" s="662" customFormat="1" ht="12.75" customHeight="1" x14ac:dyDescent="0.2">
      <c r="A6" s="1122"/>
      <c r="B6" s="1088"/>
      <c r="C6" s="253">
        <v>1</v>
      </c>
      <c r="D6" s="658">
        <v>12</v>
      </c>
      <c r="E6" s="1127"/>
      <c r="F6" s="659">
        <v>500</v>
      </c>
      <c r="G6" s="691">
        <f t="shared" si="0"/>
        <v>6000</v>
      </c>
      <c r="H6" s="1125"/>
      <c r="I6" s="709"/>
    </row>
    <row r="7" spans="1:13" s="662" customFormat="1" ht="12.75" customHeight="1" x14ac:dyDescent="0.2">
      <c r="A7" s="1121" t="str">
        <f>Аутсорсинг!A6</f>
        <v>МАДОУ ЦРР-детский сад № 11</v>
      </c>
      <c r="B7" s="1086">
        <f>'Обслуживание АПС'!B5</f>
        <v>559</v>
      </c>
      <c r="C7" s="253">
        <v>1</v>
      </c>
      <c r="D7" s="658">
        <v>12</v>
      </c>
      <c r="E7" s="1128">
        <f>ROUND((C7+C8+C9+C10)*D7/B7,3)</f>
        <v>8.5999999999999993E-2</v>
      </c>
      <c r="F7" s="659">
        <v>500</v>
      </c>
      <c r="G7" s="726">
        <f t="shared" si="0"/>
        <v>6000</v>
      </c>
      <c r="H7" s="1097">
        <f>G7+G8+G9+G10</f>
        <v>24000</v>
      </c>
      <c r="J7" s="662" t="s">
        <v>637</v>
      </c>
    </row>
    <row r="8" spans="1:13" s="662" customFormat="1" ht="12.75" customHeight="1" x14ac:dyDescent="0.2">
      <c r="A8" s="1123"/>
      <c r="B8" s="1087"/>
      <c r="C8" s="253">
        <v>1</v>
      </c>
      <c r="D8" s="658">
        <v>12</v>
      </c>
      <c r="E8" s="1129"/>
      <c r="F8" s="659">
        <v>500</v>
      </c>
      <c r="G8" s="726">
        <f t="shared" si="0"/>
        <v>6000</v>
      </c>
      <c r="H8" s="1124"/>
    </row>
    <row r="9" spans="1:13" s="662" customFormat="1" ht="12.75" customHeight="1" x14ac:dyDescent="0.2">
      <c r="A9" s="1123"/>
      <c r="B9" s="1087"/>
      <c r="C9" s="253">
        <v>1</v>
      </c>
      <c r="D9" s="658">
        <v>12</v>
      </c>
      <c r="E9" s="1129"/>
      <c r="F9" s="659">
        <v>500</v>
      </c>
      <c r="G9" s="726">
        <f t="shared" si="0"/>
        <v>6000</v>
      </c>
      <c r="H9" s="1124"/>
    </row>
    <row r="10" spans="1:13" s="662" customFormat="1" ht="12.75" customHeight="1" x14ac:dyDescent="0.2">
      <c r="A10" s="1122"/>
      <c r="B10" s="1088"/>
      <c r="C10" s="253">
        <v>1</v>
      </c>
      <c r="D10" s="658">
        <v>12</v>
      </c>
      <c r="E10" s="1130"/>
      <c r="F10" s="659">
        <v>500</v>
      </c>
      <c r="G10" s="726">
        <f t="shared" si="0"/>
        <v>6000</v>
      </c>
      <c r="H10" s="1125"/>
    </row>
    <row r="11" spans="1:13" s="662" customFormat="1" ht="12.75" customHeight="1" x14ac:dyDescent="0.2">
      <c r="A11" s="1121" t="str">
        <f>Аутсорсинг!A9</f>
        <v>МАДОУ ЦРР-детский сад № 13</v>
      </c>
      <c r="B11" s="1086">
        <f>'Обслуживание АПС'!B9</f>
        <v>633</v>
      </c>
      <c r="C11" s="253">
        <v>1</v>
      </c>
      <c r="D11" s="658">
        <v>12</v>
      </c>
      <c r="E11" s="1126">
        <f>ROUND((C11+C12+C13+C14+C15)*D11/B11,3)</f>
        <v>9.5000000000000001E-2</v>
      </c>
      <c r="F11" s="659">
        <v>500</v>
      </c>
      <c r="G11" s="691">
        <f t="shared" si="0"/>
        <v>6000</v>
      </c>
      <c r="H11" s="1097">
        <f>G11+G12+G13+G14+G15</f>
        <v>30000</v>
      </c>
      <c r="J11" s="662" t="s">
        <v>598</v>
      </c>
    </row>
    <row r="12" spans="1:13" s="662" customFormat="1" ht="12.75" customHeight="1" x14ac:dyDescent="0.2">
      <c r="A12" s="1123"/>
      <c r="B12" s="1087"/>
      <c r="C12" s="253">
        <v>1</v>
      </c>
      <c r="D12" s="658">
        <v>12</v>
      </c>
      <c r="E12" s="1131"/>
      <c r="F12" s="659">
        <v>500</v>
      </c>
      <c r="G12" s="691">
        <f t="shared" si="0"/>
        <v>6000</v>
      </c>
      <c r="H12" s="1124"/>
    </row>
    <row r="13" spans="1:13" s="662" customFormat="1" ht="12.75" customHeight="1" x14ac:dyDescent="0.2">
      <c r="A13" s="1123"/>
      <c r="B13" s="1087"/>
      <c r="C13" s="253">
        <v>1</v>
      </c>
      <c r="D13" s="658">
        <v>12</v>
      </c>
      <c r="E13" s="1131"/>
      <c r="F13" s="659">
        <v>500</v>
      </c>
      <c r="G13" s="691">
        <f t="shared" si="0"/>
        <v>6000</v>
      </c>
      <c r="H13" s="1124"/>
    </row>
    <row r="14" spans="1:13" s="662" customFormat="1" ht="12.75" customHeight="1" x14ac:dyDescent="0.2">
      <c r="A14" s="1123"/>
      <c r="B14" s="1087"/>
      <c r="C14" s="253">
        <v>1</v>
      </c>
      <c r="D14" s="658">
        <v>12</v>
      </c>
      <c r="E14" s="1131"/>
      <c r="F14" s="659">
        <v>500</v>
      </c>
      <c r="G14" s="691">
        <f t="shared" si="0"/>
        <v>6000</v>
      </c>
      <c r="H14" s="1124"/>
    </row>
    <row r="15" spans="1:13" s="662" customFormat="1" ht="12.75" customHeight="1" x14ac:dyDescent="0.2">
      <c r="A15" s="1122"/>
      <c r="B15" s="1088"/>
      <c r="C15" s="253">
        <v>1</v>
      </c>
      <c r="D15" s="658">
        <v>12</v>
      </c>
      <c r="E15" s="1127"/>
      <c r="F15" s="659">
        <v>500</v>
      </c>
      <c r="G15" s="691">
        <f t="shared" si="0"/>
        <v>6000</v>
      </c>
      <c r="H15" s="1125"/>
    </row>
    <row r="16" spans="1:13" s="662" customFormat="1" ht="12.75" customHeight="1" x14ac:dyDescent="0.2">
      <c r="A16" s="1121" t="str">
        <f>Аутсорсинг!A14</f>
        <v>МАОУ СОШ № 1 структурное подразделение</v>
      </c>
      <c r="B16" s="1086">
        <f>'Обслуживание АПС'!B14</f>
        <v>381</v>
      </c>
      <c r="C16" s="253">
        <v>1</v>
      </c>
      <c r="D16" s="658">
        <v>12</v>
      </c>
      <c r="E16" s="1126">
        <f>ROUND((C16+C17)*D16/B16,3)</f>
        <v>6.3E-2</v>
      </c>
      <c r="F16" s="659">
        <v>500</v>
      </c>
      <c r="G16" s="660">
        <f t="shared" si="0"/>
        <v>6000</v>
      </c>
      <c r="H16" s="1097">
        <f>G16+G17</f>
        <v>12000</v>
      </c>
      <c r="J16" s="662" t="s">
        <v>615</v>
      </c>
    </row>
    <row r="17" spans="1:10" s="662" customFormat="1" ht="12.75" customHeight="1" x14ac:dyDescent="0.2">
      <c r="A17" s="1122"/>
      <c r="B17" s="1088"/>
      <c r="C17" s="253">
        <v>1</v>
      </c>
      <c r="D17" s="658">
        <v>12</v>
      </c>
      <c r="E17" s="1127"/>
      <c r="F17" s="659">
        <v>500</v>
      </c>
      <c r="G17" s="660">
        <f t="shared" si="0"/>
        <v>6000</v>
      </c>
      <c r="H17" s="1125"/>
    </row>
    <row r="18" spans="1:10" s="662" customFormat="1" ht="12.75" customHeight="1" x14ac:dyDescent="0.2">
      <c r="A18" s="1121" t="str">
        <f>Аутсорсинг!A16</f>
        <v>МАОУ СОШ № 2 им.М.И.Грибушина структурное подразделение</v>
      </c>
      <c r="B18" s="1086">
        <f>'Обслуживание АПС'!B15</f>
        <v>288</v>
      </c>
      <c r="C18" s="253">
        <v>1</v>
      </c>
      <c r="D18" s="658">
        <v>12</v>
      </c>
      <c r="E18" s="1128">
        <f>ROUND((C18+C19+C20)*D18/B18,3)</f>
        <v>0.125</v>
      </c>
      <c r="F18" s="659">
        <v>500</v>
      </c>
      <c r="G18" s="660">
        <f t="shared" si="0"/>
        <v>6000</v>
      </c>
      <c r="H18" s="1097">
        <f>G18+G19+G20</f>
        <v>18000</v>
      </c>
      <c r="J18" s="662" t="s">
        <v>492</v>
      </c>
    </row>
    <row r="19" spans="1:10" s="662" customFormat="1" ht="12.75" customHeight="1" x14ac:dyDescent="0.2">
      <c r="A19" s="1123"/>
      <c r="B19" s="1087"/>
      <c r="C19" s="253">
        <v>1</v>
      </c>
      <c r="D19" s="658">
        <v>12</v>
      </c>
      <c r="E19" s="1129"/>
      <c r="F19" s="659">
        <v>500</v>
      </c>
      <c r="G19" s="660">
        <f t="shared" si="0"/>
        <v>6000</v>
      </c>
      <c r="H19" s="1124"/>
    </row>
    <row r="20" spans="1:10" s="662" customFormat="1" ht="12.75" customHeight="1" x14ac:dyDescent="0.2">
      <c r="A20" s="1122"/>
      <c r="B20" s="1088"/>
      <c r="C20" s="253">
        <v>1</v>
      </c>
      <c r="D20" s="658">
        <v>12</v>
      </c>
      <c r="E20" s="1130"/>
      <c r="F20" s="659">
        <v>500</v>
      </c>
      <c r="G20" s="660">
        <f t="shared" si="0"/>
        <v>6000</v>
      </c>
      <c r="H20" s="1125"/>
    </row>
    <row r="21" spans="1:10" s="662" customFormat="1" ht="12.75" customHeight="1" x14ac:dyDescent="0.2">
      <c r="A21" s="555" t="str">
        <f>Аутсорсинг!A17</f>
        <v>МАОУ СОШ № 10 структурное подразделение</v>
      </c>
      <c r="B21" s="633">
        <f>'Обслуживание АПС'!B16</f>
        <v>262</v>
      </c>
      <c r="C21" s="711">
        <v>1.5</v>
      </c>
      <c r="D21" s="658">
        <v>12</v>
      </c>
      <c r="E21" s="667">
        <f>ROUND((C21*D21)/B21,3)</f>
        <v>6.9000000000000006E-2</v>
      </c>
      <c r="F21" s="659">
        <v>1000</v>
      </c>
      <c r="G21" s="660">
        <f>C21*D21*F21</f>
        <v>18000</v>
      </c>
      <c r="H21" s="660">
        <f>G21</f>
        <v>18000</v>
      </c>
      <c r="J21" s="662" t="s">
        <v>497</v>
      </c>
    </row>
    <row r="22" spans="1:10" s="662" customFormat="1" ht="12.75" customHeight="1" x14ac:dyDescent="0.2">
      <c r="A22" s="672" t="str">
        <f>Аутсорсинг!A18</f>
        <v>МАОУ СОШ № 13 структурное подразделение</v>
      </c>
      <c r="B22" s="670">
        <f>'Обслуживание АПС'!B17</f>
        <v>224</v>
      </c>
      <c r="C22" s="251">
        <v>1</v>
      </c>
      <c r="D22" s="658">
        <v>12</v>
      </c>
      <c r="E22" s="667">
        <f>ROUND((C22*D22)/B22,3)</f>
        <v>5.3999999999999999E-2</v>
      </c>
      <c r="F22" s="659">
        <v>500</v>
      </c>
      <c r="G22" s="673">
        <f t="shared" si="0"/>
        <v>6000</v>
      </c>
      <c r="H22" s="673">
        <f>G22</f>
        <v>6000</v>
      </c>
      <c r="J22" s="662" t="s">
        <v>507</v>
      </c>
    </row>
    <row r="23" spans="1:10" s="662" customFormat="1" ht="12.75" customHeight="1" x14ac:dyDescent="0.2">
      <c r="A23" s="1121" t="str">
        <f>Аутсорсинг!A19</f>
        <v>Гимназия № 16 структурное подразделение</v>
      </c>
      <c r="B23" s="1086">
        <f>'Обслуживание АПС'!B18</f>
        <v>456</v>
      </c>
      <c r="C23" s="251">
        <v>1</v>
      </c>
      <c r="D23" s="658">
        <v>12</v>
      </c>
      <c r="E23" s="1126">
        <f>ROUND((C23+C24+C25)*D23/B23,3)</f>
        <v>7.9000000000000001E-2</v>
      </c>
      <c r="F23" s="659">
        <v>500</v>
      </c>
      <c r="G23" s="660">
        <f t="shared" si="0"/>
        <v>6000</v>
      </c>
      <c r="H23" s="1097">
        <f>G23+G24+G25</f>
        <v>18000</v>
      </c>
      <c r="J23" s="662" t="s">
        <v>479</v>
      </c>
    </row>
    <row r="24" spans="1:10" s="662" customFormat="1" ht="12.75" customHeight="1" x14ac:dyDescent="0.2">
      <c r="A24" s="1123"/>
      <c r="B24" s="1087"/>
      <c r="C24" s="251">
        <v>1</v>
      </c>
      <c r="D24" s="658">
        <v>12</v>
      </c>
      <c r="E24" s="1131"/>
      <c r="F24" s="659">
        <v>500</v>
      </c>
      <c r="G24" s="660">
        <f t="shared" si="0"/>
        <v>6000</v>
      </c>
      <c r="H24" s="1124"/>
    </row>
    <row r="25" spans="1:10" s="662" customFormat="1" ht="12.75" customHeight="1" x14ac:dyDescent="0.2">
      <c r="A25" s="1122"/>
      <c r="B25" s="1088"/>
      <c r="C25" s="251">
        <v>1</v>
      </c>
      <c r="D25" s="658">
        <v>12</v>
      </c>
      <c r="E25" s="1127"/>
      <c r="F25" s="659">
        <v>500</v>
      </c>
      <c r="G25" s="660">
        <f t="shared" si="0"/>
        <v>6000</v>
      </c>
      <c r="H25" s="1125"/>
    </row>
    <row r="26" spans="1:10" s="662" customFormat="1" ht="26.25" thickBot="1" x14ac:dyDescent="0.25">
      <c r="A26" s="205" t="str">
        <f>Аутсорсинг!A20</f>
        <v>МАОУ ООШ № 17 с кадетскими классами структурное подразделение</v>
      </c>
      <c r="B26" s="656">
        <f>'Обслуживание АПС'!B19</f>
        <v>189</v>
      </c>
      <c r="C26" s="251">
        <v>1</v>
      </c>
      <c r="D26" s="658">
        <v>12</v>
      </c>
      <c r="E26" s="667">
        <f>ROUND((C26*D26)/B26,3)</f>
        <v>6.3E-2</v>
      </c>
      <c r="F26" s="659">
        <v>500</v>
      </c>
      <c r="G26" s="661">
        <f t="shared" si="0"/>
        <v>6000</v>
      </c>
      <c r="H26" s="661">
        <f>G26</f>
        <v>6000</v>
      </c>
      <c r="J26" s="662" t="s">
        <v>504</v>
      </c>
    </row>
    <row r="27" spans="1:10" s="662" customFormat="1" ht="13.5" thickBot="1" x14ac:dyDescent="0.25">
      <c r="A27" s="731" t="s">
        <v>1</v>
      </c>
      <c r="B27" s="296">
        <f>SUM(B3:B26)</f>
        <v>3498</v>
      </c>
      <c r="C27" s="732">
        <f>SUM(C3:C26)</f>
        <v>24.5</v>
      </c>
      <c r="D27" s="733"/>
      <c r="E27" s="734">
        <f>ROUND(MEDIAN(E3:E26),3)</f>
        <v>7.9000000000000001E-2</v>
      </c>
      <c r="F27" s="735">
        <f>ROUND(AVERAGE(F3:F26),2)</f>
        <v>520.83000000000004</v>
      </c>
      <c r="G27" s="735">
        <f>SUM(G3:G26)</f>
        <v>156000</v>
      </c>
      <c r="H27" s="735">
        <f>SUM(H3:H26)</f>
        <v>156000</v>
      </c>
    </row>
    <row r="28" spans="1:10" s="662" customFormat="1" x14ac:dyDescent="0.2">
      <c r="A28" s="736"/>
      <c r="B28" s="736"/>
      <c r="C28" s="736"/>
      <c r="D28" s="736"/>
      <c r="E28" s="138" t="s">
        <v>234</v>
      </c>
      <c r="F28" s="140"/>
      <c r="G28" s="140"/>
      <c r="H28" s="141">
        <f>ROUND(E27*F27,2)</f>
        <v>41.15</v>
      </c>
    </row>
  </sheetData>
  <mergeCells count="26">
    <mergeCell ref="A1:H1"/>
    <mergeCell ref="A3:A6"/>
    <mergeCell ref="B3:B6"/>
    <mergeCell ref="E3:E6"/>
    <mergeCell ref="A11:A15"/>
    <mergeCell ref="B11:B15"/>
    <mergeCell ref="H11:H15"/>
    <mergeCell ref="E11:E15"/>
    <mergeCell ref="A7:A10"/>
    <mergeCell ref="B7:B10"/>
    <mergeCell ref="E7:E10"/>
    <mergeCell ref="I3:I4"/>
    <mergeCell ref="A16:A17"/>
    <mergeCell ref="A18:A20"/>
    <mergeCell ref="A23:A25"/>
    <mergeCell ref="B16:B17"/>
    <mergeCell ref="B18:B20"/>
    <mergeCell ref="B23:B25"/>
    <mergeCell ref="H3:H6"/>
    <mergeCell ref="H7:H10"/>
    <mergeCell ref="E16:E17"/>
    <mergeCell ref="E18:E20"/>
    <mergeCell ref="E23:E25"/>
    <mergeCell ref="H16:H17"/>
    <mergeCell ref="H18:H20"/>
    <mergeCell ref="H23:H25"/>
  </mergeCells>
  <pageMargins left="0.70866141732283472" right="0.70866141732283472" top="0.74803149606299213" bottom="0.74803149606299213" header="0.31496062992125984" footer="0.31496062992125984"/>
  <pageSetup paperSize="9" scale="63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/>
  <dimension ref="A1:F5"/>
  <sheetViews>
    <sheetView zoomScale="110" zoomScaleNormal="110" workbookViewId="0">
      <selection activeCell="I22" sqref="I22"/>
    </sheetView>
  </sheetViews>
  <sheetFormatPr defaultRowHeight="15" x14ac:dyDescent="0.25"/>
  <cols>
    <col min="1" max="1" width="37" customWidth="1"/>
    <col min="2" max="2" width="15.85546875" customWidth="1"/>
    <col min="3" max="3" width="10.7109375" customWidth="1"/>
    <col min="4" max="4" width="12.140625" customWidth="1"/>
  </cols>
  <sheetData>
    <row r="1" spans="1:6" x14ac:dyDescent="0.25">
      <c r="A1" s="1134" t="s">
        <v>414</v>
      </c>
      <c r="B1" s="1135"/>
      <c r="C1" s="1135"/>
      <c r="D1" s="1135"/>
    </row>
    <row r="2" spans="1:6" ht="25.5" x14ac:dyDescent="0.25">
      <c r="A2" s="257" t="s">
        <v>132</v>
      </c>
      <c r="B2" s="258" t="s">
        <v>133</v>
      </c>
      <c r="C2" s="257" t="s">
        <v>49</v>
      </c>
      <c r="D2" s="259" t="s">
        <v>134</v>
      </c>
    </row>
    <row r="3" spans="1:6" x14ac:dyDescent="0.25">
      <c r="A3" s="103" t="str">
        <f>'Стрелец- мониторинг'!A7</f>
        <v>МАДОУ ЦРР-детский сад № 11</v>
      </c>
      <c r="B3" s="117">
        <v>1320</v>
      </c>
      <c r="C3" s="118">
        <v>12</v>
      </c>
      <c r="D3" s="117">
        <f>B3*C3</f>
        <v>15840</v>
      </c>
      <c r="F3" t="s">
        <v>604</v>
      </c>
    </row>
    <row r="4" spans="1:6" s="737" customFormat="1" ht="25.5" x14ac:dyDescent="0.25">
      <c r="A4" s="452" t="str">
        <f>'Стрелец- мониторинг'!A21</f>
        <v>МАОУ СОШ № 10 структурное подразделение</v>
      </c>
      <c r="B4" s="659">
        <v>1320</v>
      </c>
      <c r="C4" s="658">
        <v>10</v>
      </c>
      <c r="D4" s="659">
        <f>B4*C4</f>
        <v>13200</v>
      </c>
      <c r="F4" s="737" t="s">
        <v>604</v>
      </c>
    </row>
    <row r="5" spans="1:6" x14ac:dyDescent="0.25">
      <c r="A5" s="119" t="s">
        <v>1</v>
      </c>
      <c r="B5" s="120">
        <f>SUM(B3:B4)</f>
        <v>2640</v>
      </c>
      <c r="C5" s="115">
        <f>SUM(C3:C4)</f>
        <v>22</v>
      </c>
      <c r="D5" s="120">
        <f>SUM(D3:D4)</f>
        <v>29040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/>
  <dimension ref="A1:H14"/>
  <sheetViews>
    <sheetView zoomScale="110" zoomScaleNormal="110" workbookViewId="0">
      <selection activeCell="I22" sqref="I22"/>
    </sheetView>
  </sheetViews>
  <sheetFormatPr defaultRowHeight="12.75" x14ac:dyDescent="0.2"/>
  <cols>
    <col min="1" max="1" width="44.7109375" style="18" customWidth="1"/>
    <col min="2" max="5" width="12.7109375" style="18" customWidth="1"/>
    <col min="6" max="7" width="15.42578125" style="18" customWidth="1"/>
    <col min="8" max="260" width="9.140625" style="18"/>
    <col min="261" max="261" width="21.42578125" style="18" customWidth="1"/>
    <col min="262" max="262" width="15.42578125" style="18" customWidth="1"/>
    <col min="263" max="516" width="9.140625" style="18"/>
    <col min="517" max="517" width="21.42578125" style="18" customWidth="1"/>
    <col min="518" max="518" width="15.42578125" style="18" customWidth="1"/>
    <col min="519" max="772" width="9.140625" style="18"/>
    <col min="773" max="773" width="21.42578125" style="18" customWidth="1"/>
    <col min="774" max="774" width="15.42578125" style="18" customWidth="1"/>
    <col min="775" max="1028" width="9.140625" style="18"/>
    <col min="1029" max="1029" width="21.42578125" style="18" customWidth="1"/>
    <col min="1030" max="1030" width="15.42578125" style="18" customWidth="1"/>
    <col min="1031" max="1284" width="9.140625" style="18"/>
    <col min="1285" max="1285" width="21.42578125" style="18" customWidth="1"/>
    <col min="1286" max="1286" width="15.42578125" style="18" customWidth="1"/>
    <col min="1287" max="1540" width="9.140625" style="18"/>
    <col min="1541" max="1541" width="21.42578125" style="18" customWidth="1"/>
    <col min="1542" max="1542" width="15.42578125" style="18" customWidth="1"/>
    <col min="1543" max="1796" width="9.140625" style="18"/>
    <col min="1797" max="1797" width="21.42578125" style="18" customWidth="1"/>
    <col min="1798" max="1798" width="15.42578125" style="18" customWidth="1"/>
    <col min="1799" max="2052" width="9.140625" style="18"/>
    <col min="2053" max="2053" width="21.42578125" style="18" customWidth="1"/>
    <col min="2054" max="2054" width="15.42578125" style="18" customWidth="1"/>
    <col min="2055" max="2308" width="9.140625" style="18"/>
    <col min="2309" max="2309" width="21.42578125" style="18" customWidth="1"/>
    <col min="2310" max="2310" width="15.42578125" style="18" customWidth="1"/>
    <col min="2311" max="2564" width="9.140625" style="18"/>
    <col min="2565" max="2565" width="21.42578125" style="18" customWidth="1"/>
    <col min="2566" max="2566" width="15.42578125" style="18" customWidth="1"/>
    <col min="2567" max="2820" width="9.140625" style="18"/>
    <col min="2821" max="2821" width="21.42578125" style="18" customWidth="1"/>
    <col min="2822" max="2822" width="15.42578125" style="18" customWidth="1"/>
    <col min="2823" max="3076" width="9.140625" style="18"/>
    <col min="3077" max="3077" width="21.42578125" style="18" customWidth="1"/>
    <col min="3078" max="3078" width="15.42578125" style="18" customWidth="1"/>
    <col min="3079" max="3332" width="9.140625" style="18"/>
    <col min="3333" max="3333" width="21.42578125" style="18" customWidth="1"/>
    <col min="3334" max="3334" width="15.42578125" style="18" customWidth="1"/>
    <col min="3335" max="3588" width="9.140625" style="18"/>
    <col min="3589" max="3589" width="21.42578125" style="18" customWidth="1"/>
    <col min="3590" max="3590" width="15.42578125" style="18" customWidth="1"/>
    <col min="3591" max="3844" width="9.140625" style="18"/>
    <col min="3845" max="3845" width="21.42578125" style="18" customWidth="1"/>
    <col min="3846" max="3846" width="15.42578125" style="18" customWidth="1"/>
    <col min="3847" max="4100" width="9.140625" style="18"/>
    <col min="4101" max="4101" width="21.42578125" style="18" customWidth="1"/>
    <col min="4102" max="4102" width="15.42578125" style="18" customWidth="1"/>
    <col min="4103" max="4356" width="9.140625" style="18"/>
    <col min="4357" max="4357" width="21.42578125" style="18" customWidth="1"/>
    <col min="4358" max="4358" width="15.42578125" style="18" customWidth="1"/>
    <col min="4359" max="4612" width="9.140625" style="18"/>
    <col min="4613" max="4613" width="21.42578125" style="18" customWidth="1"/>
    <col min="4614" max="4614" width="15.42578125" style="18" customWidth="1"/>
    <col min="4615" max="4868" width="9.140625" style="18"/>
    <col min="4869" max="4869" width="21.42578125" style="18" customWidth="1"/>
    <col min="4870" max="4870" width="15.42578125" style="18" customWidth="1"/>
    <col min="4871" max="5124" width="9.140625" style="18"/>
    <col min="5125" max="5125" width="21.42578125" style="18" customWidth="1"/>
    <col min="5126" max="5126" width="15.42578125" style="18" customWidth="1"/>
    <col min="5127" max="5380" width="9.140625" style="18"/>
    <col min="5381" max="5381" width="21.42578125" style="18" customWidth="1"/>
    <col min="5382" max="5382" width="15.42578125" style="18" customWidth="1"/>
    <col min="5383" max="5636" width="9.140625" style="18"/>
    <col min="5637" max="5637" width="21.42578125" style="18" customWidth="1"/>
    <col min="5638" max="5638" width="15.42578125" style="18" customWidth="1"/>
    <col min="5639" max="5892" width="9.140625" style="18"/>
    <col min="5893" max="5893" width="21.42578125" style="18" customWidth="1"/>
    <col min="5894" max="5894" width="15.42578125" style="18" customWidth="1"/>
    <col min="5895" max="6148" width="9.140625" style="18"/>
    <col min="6149" max="6149" width="21.42578125" style="18" customWidth="1"/>
    <col min="6150" max="6150" width="15.42578125" style="18" customWidth="1"/>
    <col min="6151" max="6404" width="9.140625" style="18"/>
    <col min="6405" max="6405" width="21.42578125" style="18" customWidth="1"/>
    <col min="6406" max="6406" width="15.42578125" style="18" customWidth="1"/>
    <col min="6407" max="6660" width="9.140625" style="18"/>
    <col min="6661" max="6661" width="21.42578125" style="18" customWidth="1"/>
    <col min="6662" max="6662" width="15.42578125" style="18" customWidth="1"/>
    <col min="6663" max="6916" width="9.140625" style="18"/>
    <col min="6917" max="6917" width="21.42578125" style="18" customWidth="1"/>
    <col min="6918" max="6918" width="15.42578125" style="18" customWidth="1"/>
    <col min="6919" max="7172" width="9.140625" style="18"/>
    <col min="7173" max="7173" width="21.42578125" style="18" customWidth="1"/>
    <col min="7174" max="7174" width="15.42578125" style="18" customWidth="1"/>
    <col min="7175" max="7428" width="9.140625" style="18"/>
    <col min="7429" max="7429" width="21.42578125" style="18" customWidth="1"/>
    <col min="7430" max="7430" width="15.42578125" style="18" customWidth="1"/>
    <col min="7431" max="7684" width="9.140625" style="18"/>
    <col min="7685" max="7685" width="21.42578125" style="18" customWidth="1"/>
    <col min="7686" max="7686" width="15.42578125" style="18" customWidth="1"/>
    <col min="7687" max="7940" width="9.140625" style="18"/>
    <col min="7941" max="7941" width="21.42578125" style="18" customWidth="1"/>
    <col min="7942" max="7942" width="15.42578125" style="18" customWidth="1"/>
    <col min="7943" max="8196" width="9.140625" style="18"/>
    <col min="8197" max="8197" width="21.42578125" style="18" customWidth="1"/>
    <col min="8198" max="8198" width="15.42578125" style="18" customWidth="1"/>
    <col min="8199" max="8452" width="9.140625" style="18"/>
    <col min="8453" max="8453" width="21.42578125" style="18" customWidth="1"/>
    <col min="8454" max="8454" width="15.42578125" style="18" customWidth="1"/>
    <col min="8455" max="8708" width="9.140625" style="18"/>
    <col min="8709" max="8709" width="21.42578125" style="18" customWidth="1"/>
    <col min="8710" max="8710" width="15.42578125" style="18" customWidth="1"/>
    <col min="8711" max="8964" width="9.140625" style="18"/>
    <col min="8965" max="8965" width="21.42578125" style="18" customWidth="1"/>
    <col min="8966" max="8966" width="15.42578125" style="18" customWidth="1"/>
    <col min="8967" max="9220" width="9.140625" style="18"/>
    <col min="9221" max="9221" width="21.42578125" style="18" customWidth="1"/>
    <col min="9222" max="9222" width="15.42578125" style="18" customWidth="1"/>
    <col min="9223" max="9476" width="9.140625" style="18"/>
    <col min="9477" max="9477" width="21.42578125" style="18" customWidth="1"/>
    <col min="9478" max="9478" width="15.42578125" style="18" customWidth="1"/>
    <col min="9479" max="9732" width="9.140625" style="18"/>
    <col min="9733" max="9733" width="21.42578125" style="18" customWidth="1"/>
    <col min="9734" max="9734" width="15.42578125" style="18" customWidth="1"/>
    <col min="9735" max="9988" width="9.140625" style="18"/>
    <col min="9989" max="9989" width="21.42578125" style="18" customWidth="1"/>
    <col min="9990" max="9990" width="15.42578125" style="18" customWidth="1"/>
    <col min="9991" max="10244" width="9.140625" style="18"/>
    <col min="10245" max="10245" width="21.42578125" style="18" customWidth="1"/>
    <col min="10246" max="10246" width="15.42578125" style="18" customWidth="1"/>
    <col min="10247" max="10500" width="9.140625" style="18"/>
    <col min="10501" max="10501" width="21.42578125" style="18" customWidth="1"/>
    <col min="10502" max="10502" width="15.42578125" style="18" customWidth="1"/>
    <col min="10503" max="10756" width="9.140625" style="18"/>
    <col min="10757" max="10757" width="21.42578125" style="18" customWidth="1"/>
    <col min="10758" max="10758" width="15.42578125" style="18" customWidth="1"/>
    <col min="10759" max="11012" width="9.140625" style="18"/>
    <col min="11013" max="11013" width="21.42578125" style="18" customWidth="1"/>
    <col min="11014" max="11014" width="15.42578125" style="18" customWidth="1"/>
    <col min="11015" max="11268" width="9.140625" style="18"/>
    <col min="11269" max="11269" width="21.42578125" style="18" customWidth="1"/>
    <col min="11270" max="11270" width="15.42578125" style="18" customWidth="1"/>
    <col min="11271" max="11524" width="9.140625" style="18"/>
    <col min="11525" max="11525" width="21.42578125" style="18" customWidth="1"/>
    <col min="11526" max="11526" width="15.42578125" style="18" customWidth="1"/>
    <col min="11527" max="11780" width="9.140625" style="18"/>
    <col min="11781" max="11781" width="21.42578125" style="18" customWidth="1"/>
    <col min="11782" max="11782" width="15.42578125" style="18" customWidth="1"/>
    <col min="11783" max="12036" width="9.140625" style="18"/>
    <col min="12037" max="12037" width="21.42578125" style="18" customWidth="1"/>
    <col min="12038" max="12038" width="15.42578125" style="18" customWidth="1"/>
    <col min="12039" max="12292" width="9.140625" style="18"/>
    <col min="12293" max="12293" width="21.42578125" style="18" customWidth="1"/>
    <col min="12294" max="12294" width="15.42578125" style="18" customWidth="1"/>
    <col min="12295" max="12548" width="9.140625" style="18"/>
    <col min="12549" max="12549" width="21.42578125" style="18" customWidth="1"/>
    <col min="12550" max="12550" width="15.42578125" style="18" customWidth="1"/>
    <col min="12551" max="12804" width="9.140625" style="18"/>
    <col min="12805" max="12805" width="21.42578125" style="18" customWidth="1"/>
    <col min="12806" max="12806" width="15.42578125" style="18" customWidth="1"/>
    <col min="12807" max="13060" width="9.140625" style="18"/>
    <col min="13061" max="13061" width="21.42578125" style="18" customWidth="1"/>
    <col min="13062" max="13062" width="15.42578125" style="18" customWidth="1"/>
    <col min="13063" max="13316" width="9.140625" style="18"/>
    <col min="13317" max="13317" width="21.42578125" style="18" customWidth="1"/>
    <col min="13318" max="13318" width="15.42578125" style="18" customWidth="1"/>
    <col min="13319" max="13572" width="9.140625" style="18"/>
    <col min="13573" max="13573" width="21.42578125" style="18" customWidth="1"/>
    <col min="13574" max="13574" width="15.42578125" style="18" customWidth="1"/>
    <col min="13575" max="13828" width="9.140625" style="18"/>
    <col min="13829" max="13829" width="21.42578125" style="18" customWidth="1"/>
    <col min="13830" max="13830" width="15.42578125" style="18" customWidth="1"/>
    <col min="13831" max="14084" width="9.140625" style="18"/>
    <col min="14085" max="14085" width="21.42578125" style="18" customWidth="1"/>
    <col min="14086" max="14086" width="15.42578125" style="18" customWidth="1"/>
    <col min="14087" max="14340" width="9.140625" style="18"/>
    <col min="14341" max="14341" width="21.42578125" style="18" customWidth="1"/>
    <col min="14342" max="14342" width="15.42578125" style="18" customWidth="1"/>
    <col min="14343" max="14596" width="9.140625" style="18"/>
    <col min="14597" max="14597" width="21.42578125" style="18" customWidth="1"/>
    <col min="14598" max="14598" width="15.42578125" style="18" customWidth="1"/>
    <col min="14599" max="14852" width="9.140625" style="18"/>
    <col min="14853" max="14853" width="21.42578125" style="18" customWidth="1"/>
    <col min="14854" max="14854" width="15.42578125" style="18" customWidth="1"/>
    <col min="14855" max="15108" width="9.140625" style="18"/>
    <col min="15109" max="15109" width="21.42578125" style="18" customWidth="1"/>
    <col min="15110" max="15110" width="15.42578125" style="18" customWidth="1"/>
    <col min="15111" max="15364" width="9.140625" style="18"/>
    <col min="15365" max="15365" width="21.42578125" style="18" customWidth="1"/>
    <col min="15366" max="15366" width="15.42578125" style="18" customWidth="1"/>
    <col min="15367" max="15620" width="9.140625" style="18"/>
    <col min="15621" max="15621" width="21.42578125" style="18" customWidth="1"/>
    <col min="15622" max="15622" width="15.42578125" style="18" customWidth="1"/>
    <col min="15623" max="15876" width="9.140625" style="18"/>
    <col min="15877" max="15877" width="21.42578125" style="18" customWidth="1"/>
    <col min="15878" max="15878" width="15.42578125" style="18" customWidth="1"/>
    <col min="15879" max="16132" width="9.140625" style="18"/>
    <col min="16133" max="16133" width="21.42578125" style="18" customWidth="1"/>
    <col min="16134" max="16134" width="15.42578125" style="18" customWidth="1"/>
    <col min="16135" max="16384" width="9.140625" style="18"/>
  </cols>
  <sheetData>
    <row r="1" spans="1:8" x14ac:dyDescent="0.2">
      <c r="A1" s="564" t="s">
        <v>415</v>
      </c>
      <c r="B1" s="107"/>
      <c r="C1" s="107"/>
      <c r="D1" s="107"/>
      <c r="E1" s="107"/>
    </row>
    <row r="3" spans="1:8" ht="112.5" customHeight="1" x14ac:dyDescent="0.2">
      <c r="A3" s="260" t="s">
        <v>132</v>
      </c>
      <c r="B3" s="221" t="str">
        <f>'Стрелец- мониторинг'!B2</f>
        <v xml:space="preserve">Нормативная численность обучающихся </v>
      </c>
      <c r="C3" s="329" t="s">
        <v>331</v>
      </c>
      <c r="D3" s="379" t="s">
        <v>322</v>
      </c>
      <c r="E3" s="341" t="s">
        <v>324</v>
      </c>
      <c r="F3" s="220" t="s">
        <v>25</v>
      </c>
    </row>
    <row r="4" spans="1:8" ht="15" x14ac:dyDescent="0.25">
      <c r="A4" s="46" t="str">
        <f>'Стрелец- мониторинг'!A3</f>
        <v>МАДОУ ЦРР-детский сад № 2</v>
      </c>
      <c r="B4" s="215">
        <f>'Стрелец- мониторинг'!B3</f>
        <v>506</v>
      </c>
      <c r="C4" s="583">
        <f>'Исходные данные'!C4</f>
        <v>4</v>
      </c>
      <c r="D4" s="391">
        <f>ROUND(C4/B4,3)</f>
        <v>8.0000000000000002E-3</v>
      </c>
      <c r="E4" s="343">
        <v>11226.74</v>
      </c>
      <c r="F4" s="216">
        <f>C4*E4</f>
        <v>44906.96</v>
      </c>
      <c r="H4" s="590" t="s">
        <v>651</v>
      </c>
    </row>
    <row r="5" spans="1:8" x14ac:dyDescent="0.2">
      <c r="A5" s="46" t="str">
        <f>'Стрелец- мониторинг'!A7</f>
        <v>МАДОУ ЦРР-детский сад № 11</v>
      </c>
      <c r="B5" s="215">
        <f>'Стрелец- мониторинг'!B7</f>
        <v>559</v>
      </c>
      <c r="C5" s="583">
        <f>'Исходные данные'!C5</f>
        <v>4</v>
      </c>
      <c r="D5" s="391">
        <f t="shared" ref="D5:D12" si="0">ROUND(C5/B5,3)</f>
        <v>7.0000000000000001E-3</v>
      </c>
      <c r="E5" s="571">
        <v>11226.74</v>
      </c>
      <c r="F5" s="216">
        <f t="shared" ref="F5:F12" si="1">C5*E5</f>
        <v>44906.96</v>
      </c>
    </row>
    <row r="6" spans="1:8" x14ac:dyDescent="0.2">
      <c r="A6" s="46" t="str">
        <f>'Стрелец- мониторинг'!A11</f>
        <v>МАДОУ ЦРР-детский сад № 13</v>
      </c>
      <c r="B6" s="215">
        <f>'Стрелец- мониторинг'!B11</f>
        <v>633</v>
      </c>
      <c r="C6" s="583">
        <f>'Исходные данные'!C6</f>
        <v>5</v>
      </c>
      <c r="D6" s="391">
        <f t="shared" si="0"/>
        <v>8.0000000000000002E-3</v>
      </c>
      <c r="E6" s="571">
        <v>11226.74</v>
      </c>
      <c r="F6" s="216">
        <f t="shared" si="1"/>
        <v>56133.7</v>
      </c>
    </row>
    <row r="7" spans="1:8" x14ac:dyDescent="0.2">
      <c r="A7" s="46" t="str">
        <f>'Стрелец- мониторинг'!A16</f>
        <v>МАОУ СОШ № 1 структурное подразделение</v>
      </c>
      <c r="B7" s="215">
        <f>'Стрелец- мониторинг'!B16</f>
        <v>381</v>
      </c>
      <c r="C7" s="583">
        <f>'Исходные данные'!C7</f>
        <v>2</v>
      </c>
      <c r="D7" s="391">
        <f t="shared" si="0"/>
        <v>5.0000000000000001E-3</v>
      </c>
      <c r="E7" s="571">
        <v>11226.74</v>
      </c>
      <c r="F7" s="216">
        <f t="shared" si="1"/>
        <v>22453.48</v>
      </c>
    </row>
    <row r="8" spans="1:8" ht="25.5" x14ac:dyDescent="0.2">
      <c r="A8" s="46" t="str">
        <f>'Стрелец- мониторинг'!A18</f>
        <v>МАОУ СОШ № 2 им.М.И.Грибушина структурное подразделение</v>
      </c>
      <c r="B8" s="215">
        <f>'Стрелец- мониторинг'!B18</f>
        <v>288</v>
      </c>
      <c r="C8" s="583">
        <f>'Исходные данные'!C8</f>
        <v>3</v>
      </c>
      <c r="D8" s="391">
        <f t="shared" si="0"/>
        <v>0.01</v>
      </c>
      <c r="E8" s="571">
        <v>11226.74</v>
      </c>
      <c r="F8" s="216">
        <f t="shared" si="1"/>
        <v>33680.22</v>
      </c>
    </row>
    <row r="9" spans="1:8" x14ac:dyDescent="0.2">
      <c r="A9" s="46" t="str">
        <f>'Стрелец- мониторинг'!A21</f>
        <v>МАОУ СОШ № 10 структурное подразделение</v>
      </c>
      <c r="B9" s="215">
        <f>'Стрелец- мониторинг'!B21</f>
        <v>262</v>
      </c>
      <c r="C9" s="583">
        <f>'Исходные данные'!C9</f>
        <v>2</v>
      </c>
      <c r="D9" s="391">
        <f>ROUND(C9/B9,3)</f>
        <v>8.0000000000000002E-3</v>
      </c>
      <c r="E9" s="571">
        <v>11226.74</v>
      </c>
      <c r="F9" s="216">
        <f t="shared" si="1"/>
        <v>22453.48</v>
      </c>
    </row>
    <row r="10" spans="1:8" x14ac:dyDescent="0.2">
      <c r="A10" s="46" t="str">
        <f>'Стрелец- мониторинг'!A22</f>
        <v>МАОУ СОШ № 13 структурное подразделение</v>
      </c>
      <c r="B10" s="215">
        <f>'Стрелец- мониторинг'!B22</f>
        <v>224</v>
      </c>
      <c r="C10" s="583">
        <f>'Исходные данные'!C10</f>
        <v>1</v>
      </c>
      <c r="D10" s="391">
        <f t="shared" si="0"/>
        <v>4.0000000000000001E-3</v>
      </c>
      <c r="E10" s="571">
        <v>11226.74</v>
      </c>
      <c r="F10" s="216">
        <f t="shared" si="1"/>
        <v>11226.74</v>
      </c>
    </row>
    <row r="11" spans="1:8" x14ac:dyDescent="0.2">
      <c r="A11" s="46" t="str">
        <f>'Стрелец- мониторинг'!A23</f>
        <v>Гимназия № 16 структурное подразделение</v>
      </c>
      <c r="B11" s="215">
        <f>'Стрелец- мониторинг'!B23</f>
        <v>456</v>
      </c>
      <c r="C11" s="583">
        <f>'Исходные данные'!C11</f>
        <v>3</v>
      </c>
      <c r="D11" s="391">
        <f t="shared" si="0"/>
        <v>7.0000000000000001E-3</v>
      </c>
      <c r="E11" s="571">
        <v>11226.74</v>
      </c>
      <c r="F11" s="216">
        <f t="shared" si="1"/>
        <v>33680.22</v>
      </c>
    </row>
    <row r="12" spans="1:8" ht="26.25" thickBot="1" x14ac:dyDescent="0.25">
      <c r="A12" s="46" t="str">
        <f>'Стрелец- мониторинг'!A26</f>
        <v>МАОУ ООШ № 17 с кадетскими классами структурное подразделение</v>
      </c>
      <c r="B12" s="215">
        <f>'Стрелец- мониторинг'!B26</f>
        <v>189</v>
      </c>
      <c r="C12" s="583">
        <f>'Исходные данные'!C12</f>
        <v>1</v>
      </c>
      <c r="D12" s="391">
        <f t="shared" si="0"/>
        <v>5.0000000000000001E-3</v>
      </c>
      <c r="E12" s="571">
        <v>11226.74</v>
      </c>
      <c r="F12" s="216">
        <f t="shared" si="1"/>
        <v>11226.74</v>
      </c>
    </row>
    <row r="13" spans="1:8" ht="13.5" thickBot="1" x14ac:dyDescent="0.25">
      <c r="A13" s="71" t="s">
        <v>1</v>
      </c>
      <c r="B13" s="296">
        <f>SUM(B4:B12)</f>
        <v>3498</v>
      </c>
      <c r="C13" s="559">
        <f>SUM(C4:C12)</f>
        <v>25</v>
      </c>
      <c r="D13" s="396">
        <f>ROUND(MEDIAN(D4:D12),3)</f>
        <v>7.0000000000000001E-3</v>
      </c>
      <c r="E13" s="395">
        <f>ROUND(AVERAGE(E4:E12),2)</f>
        <v>11226.74</v>
      </c>
      <c r="F13" s="150">
        <f>SUM(F4:F12)</f>
        <v>280668.5</v>
      </c>
    </row>
    <row r="14" spans="1:8" x14ac:dyDescent="0.2">
      <c r="B14" s="138" t="s">
        <v>240</v>
      </c>
      <c r="C14" s="138"/>
      <c r="D14" s="138"/>
      <c r="E14" s="138"/>
      <c r="F14" s="141">
        <f>ROUND(D13*E13,2)</f>
        <v>78.59</v>
      </c>
    </row>
  </sheetData>
  <pageMargins left="0.7" right="0.7" top="0.75" bottom="0.75" header="0.3" footer="0.3"/>
  <pageSetup paperSize="9" scale="7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2:AM16"/>
  <sheetViews>
    <sheetView zoomScaleNormal="100" workbookViewId="0">
      <pane xSplit="1" ySplit="6" topLeftCell="B7" activePane="bottomRight" state="frozen"/>
      <selection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ColWidth="9.140625" defaultRowHeight="12.75" x14ac:dyDescent="0.2"/>
  <cols>
    <col min="1" max="1" width="38.42578125" style="170" customWidth="1"/>
    <col min="2" max="2" width="12.7109375" style="170" customWidth="1"/>
    <col min="3" max="3" width="13.28515625" style="170" customWidth="1"/>
    <col min="4" max="4" width="12.85546875" style="170" customWidth="1"/>
    <col min="5" max="5" width="13" style="170" customWidth="1"/>
    <col min="6" max="7" width="10.140625" style="170" bestFit="1" customWidth="1"/>
    <col min="8" max="8" width="10.140625" style="170" customWidth="1"/>
    <col min="9" max="9" width="10.140625" style="170" bestFit="1" customWidth="1"/>
    <col min="10" max="10" width="11" style="170" customWidth="1"/>
    <col min="11" max="11" width="11.140625" style="170" customWidth="1"/>
    <col min="12" max="12" width="11.28515625" style="170" customWidth="1"/>
    <col min="13" max="13" width="12.28515625" style="170" customWidth="1"/>
    <col min="14" max="14" width="12.140625" style="170" customWidth="1"/>
    <col min="15" max="15" width="11.5703125" style="170" customWidth="1"/>
    <col min="16" max="17" width="10.140625" style="170" bestFit="1" customWidth="1"/>
    <col min="18" max="18" width="10.140625" style="170" customWidth="1"/>
    <col min="19" max="20" width="9.42578125" style="170" bestFit="1" customWidth="1"/>
    <col min="21" max="21" width="9.42578125" style="170" customWidth="1"/>
    <col min="22" max="22" width="9.42578125" style="170" bestFit="1" customWidth="1"/>
    <col min="23" max="24" width="10.140625" style="170" bestFit="1" customWidth="1"/>
    <col min="25" max="25" width="10.140625" style="170" customWidth="1"/>
    <col min="26" max="28" width="10.140625" style="170" bestFit="1" customWidth="1"/>
    <col min="29" max="29" width="10.140625" style="170" customWidth="1"/>
    <col min="30" max="30" width="10.140625" style="170" bestFit="1" customWidth="1"/>
    <col min="31" max="32" width="9.42578125" style="170" bestFit="1" customWidth="1"/>
    <col min="33" max="33" width="9.42578125" style="170" customWidth="1"/>
    <col min="34" max="36" width="9.42578125" style="170" bestFit="1" customWidth="1"/>
    <col min="37" max="37" width="9.42578125" style="170" customWidth="1"/>
    <col min="38" max="38" width="9.42578125" style="170" bestFit="1" customWidth="1"/>
    <col min="39" max="16384" width="9.140625" style="170"/>
  </cols>
  <sheetData>
    <row r="2" spans="1:39" x14ac:dyDescent="0.2">
      <c r="G2" s="432" t="s">
        <v>400</v>
      </c>
    </row>
    <row r="3" spans="1:39" x14ac:dyDescent="0.2">
      <c r="A3" s="1007" t="s">
        <v>187</v>
      </c>
      <c r="B3" s="1014" t="s">
        <v>154</v>
      </c>
      <c r="C3" s="1014"/>
      <c r="D3" s="1014"/>
      <c r="E3" s="1014"/>
      <c r="F3" s="1001" t="s">
        <v>155</v>
      </c>
      <c r="G3" s="1002"/>
      <c r="H3" s="1002"/>
      <c r="I3" s="1002"/>
      <c r="J3" s="1002"/>
      <c r="K3" s="1002"/>
      <c r="L3" s="1002"/>
      <c r="M3" s="1002"/>
      <c r="N3" s="1002"/>
      <c r="O3" s="1002"/>
      <c r="P3" s="1002"/>
      <c r="Q3" s="1002"/>
      <c r="R3" s="1003"/>
      <c r="S3" s="1011" t="s">
        <v>156</v>
      </c>
      <c r="T3" s="1011"/>
      <c r="U3" s="1011"/>
      <c r="V3" s="1011"/>
      <c r="W3" s="1012" t="s">
        <v>157</v>
      </c>
      <c r="X3" s="1012"/>
      <c r="Y3" s="1012"/>
      <c r="Z3" s="1012"/>
      <c r="AA3" s="1006" t="s">
        <v>152</v>
      </c>
      <c r="AB3" s="1006"/>
      <c r="AC3" s="1006"/>
      <c r="AD3" s="1006"/>
      <c r="AE3" s="1013" t="s">
        <v>158</v>
      </c>
      <c r="AF3" s="1013"/>
      <c r="AG3" s="1013"/>
      <c r="AH3" s="1013"/>
      <c r="AI3" s="993" t="s">
        <v>153</v>
      </c>
      <c r="AJ3" s="993"/>
      <c r="AK3" s="993"/>
      <c r="AL3" s="993"/>
    </row>
    <row r="4" spans="1:39" ht="41.25" customHeight="1" x14ac:dyDescent="0.2">
      <c r="A4" s="1007"/>
      <c r="B4" s="1015">
        <v>2017</v>
      </c>
      <c r="C4" s="1015">
        <v>2018</v>
      </c>
      <c r="D4" s="1015">
        <v>2019</v>
      </c>
      <c r="E4" s="1015" t="s">
        <v>159</v>
      </c>
      <c r="F4" s="1008">
        <v>2017</v>
      </c>
      <c r="G4" s="1008">
        <v>2018</v>
      </c>
      <c r="H4" s="1008">
        <v>2019</v>
      </c>
      <c r="I4" s="1010" t="s">
        <v>159</v>
      </c>
      <c r="J4" s="994" t="s">
        <v>160</v>
      </c>
      <c r="K4" s="995"/>
      <c r="L4" s="996"/>
      <c r="M4" s="994" t="s">
        <v>161</v>
      </c>
      <c r="N4" s="995"/>
      <c r="O4" s="996"/>
      <c r="P4" s="994" t="s">
        <v>162</v>
      </c>
      <c r="Q4" s="995"/>
      <c r="R4" s="996"/>
      <c r="S4" s="997">
        <v>2017</v>
      </c>
      <c r="T4" s="999">
        <v>2018</v>
      </c>
      <c r="U4" s="999">
        <v>2019</v>
      </c>
      <c r="V4" s="999" t="s">
        <v>159</v>
      </c>
      <c r="W4" s="1000">
        <v>2017</v>
      </c>
      <c r="X4" s="1000">
        <v>2018</v>
      </c>
      <c r="Y4" s="1000">
        <v>2019</v>
      </c>
      <c r="Z4" s="1000" t="s">
        <v>159</v>
      </c>
      <c r="AA4" s="1005">
        <v>2017</v>
      </c>
      <c r="AB4" s="1005">
        <v>2018</v>
      </c>
      <c r="AC4" s="1005">
        <v>2019</v>
      </c>
      <c r="AD4" s="1005" t="s">
        <v>159</v>
      </c>
      <c r="AE4" s="1016">
        <v>2017</v>
      </c>
      <c r="AF4" s="1016">
        <v>2018</v>
      </c>
      <c r="AG4" s="1016">
        <v>2019</v>
      </c>
      <c r="AH4" s="1016" t="s">
        <v>159</v>
      </c>
      <c r="AI4" s="1004">
        <v>2017</v>
      </c>
      <c r="AJ4" s="1004">
        <v>2018</v>
      </c>
      <c r="AK4" s="1004">
        <v>2019</v>
      </c>
      <c r="AL4" s="1004" t="s">
        <v>159</v>
      </c>
    </row>
    <row r="5" spans="1:39" x14ac:dyDescent="0.2">
      <c r="A5" s="1007"/>
      <c r="B5" s="1015"/>
      <c r="C5" s="1015"/>
      <c r="D5" s="1015"/>
      <c r="E5" s="1015"/>
      <c r="F5" s="1009"/>
      <c r="G5" s="1009"/>
      <c r="H5" s="1009"/>
      <c r="I5" s="1010"/>
      <c r="J5" s="239">
        <v>2017</v>
      </c>
      <c r="K5" s="512">
        <v>2018</v>
      </c>
      <c r="L5" s="512">
        <v>2019</v>
      </c>
      <c r="M5" s="239">
        <v>2017</v>
      </c>
      <c r="N5" s="512">
        <v>2018</v>
      </c>
      <c r="O5" s="512">
        <v>2019</v>
      </c>
      <c r="P5" s="239">
        <v>2017</v>
      </c>
      <c r="Q5" s="512">
        <v>2018</v>
      </c>
      <c r="R5" s="512">
        <v>2019</v>
      </c>
      <c r="S5" s="998"/>
      <c r="T5" s="999"/>
      <c r="U5" s="999"/>
      <c r="V5" s="999"/>
      <c r="W5" s="1000"/>
      <c r="X5" s="1000"/>
      <c r="Y5" s="1000"/>
      <c r="Z5" s="1000"/>
      <c r="AA5" s="1005"/>
      <c r="AB5" s="1005"/>
      <c r="AC5" s="1005"/>
      <c r="AD5" s="1005"/>
      <c r="AE5" s="1016"/>
      <c r="AF5" s="1016"/>
      <c r="AG5" s="1016"/>
      <c r="AH5" s="1016"/>
      <c r="AI5" s="1004"/>
      <c r="AJ5" s="1004"/>
      <c r="AK5" s="1004"/>
      <c r="AL5" s="1004"/>
    </row>
    <row r="6" spans="1:39" x14ac:dyDescent="0.2">
      <c r="A6" s="1007"/>
      <c r="B6" s="240" t="s">
        <v>163</v>
      </c>
      <c r="C6" s="513" t="s">
        <v>163</v>
      </c>
      <c r="D6" s="513" t="s">
        <v>163</v>
      </c>
      <c r="E6" s="513" t="s">
        <v>163</v>
      </c>
      <c r="F6" s="239" t="s">
        <v>164</v>
      </c>
      <c r="G6" s="239" t="s">
        <v>164</v>
      </c>
      <c r="H6" s="239" t="s">
        <v>164</v>
      </c>
      <c r="I6" s="239" t="s">
        <v>164</v>
      </c>
      <c r="J6" s="512" t="s">
        <v>165</v>
      </c>
      <c r="K6" s="512" t="s">
        <v>165</v>
      </c>
      <c r="L6" s="512" t="s">
        <v>165</v>
      </c>
      <c r="M6" s="512" t="s">
        <v>166</v>
      </c>
      <c r="N6" s="512" t="s">
        <v>166</v>
      </c>
      <c r="O6" s="512" t="s">
        <v>166</v>
      </c>
      <c r="P6" s="512" t="s">
        <v>167</v>
      </c>
      <c r="Q6" s="512" t="s">
        <v>167</v>
      </c>
      <c r="R6" s="512" t="s">
        <v>167</v>
      </c>
      <c r="S6" s="508" t="s">
        <v>166</v>
      </c>
      <c r="T6" s="508" t="s">
        <v>166</v>
      </c>
      <c r="U6" s="508" t="s">
        <v>166</v>
      </c>
      <c r="V6" s="508" t="s">
        <v>166</v>
      </c>
      <c r="W6" s="509" t="s">
        <v>166</v>
      </c>
      <c r="X6" s="509" t="s">
        <v>166</v>
      </c>
      <c r="Y6" s="509" t="s">
        <v>166</v>
      </c>
      <c r="Z6" s="509" t="s">
        <v>166</v>
      </c>
      <c r="AA6" s="511" t="s">
        <v>166</v>
      </c>
      <c r="AB6" s="511" t="s">
        <v>166</v>
      </c>
      <c r="AC6" s="511" t="s">
        <v>166</v>
      </c>
      <c r="AD6" s="511" t="s">
        <v>166</v>
      </c>
      <c r="AE6" s="514" t="s">
        <v>166</v>
      </c>
      <c r="AF6" s="514" t="s">
        <v>166</v>
      </c>
      <c r="AG6" s="514" t="s">
        <v>166</v>
      </c>
      <c r="AH6" s="514" t="s">
        <v>166</v>
      </c>
      <c r="AI6" s="510" t="s">
        <v>166</v>
      </c>
      <c r="AJ6" s="510" t="s">
        <v>166</v>
      </c>
      <c r="AK6" s="510" t="s">
        <v>166</v>
      </c>
      <c r="AL6" s="510" t="s">
        <v>166</v>
      </c>
    </row>
    <row r="7" spans="1:39" ht="17.100000000000001" customHeight="1" x14ac:dyDescent="0.2">
      <c r="A7" s="518" t="str">
        <f>'Исходные данные'!B4</f>
        <v>МАДОУ ЦРР-детский сад № 2</v>
      </c>
      <c r="B7" s="241">
        <v>175041</v>
      </c>
      <c r="C7" s="241">
        <v>172455</v>
      </c>
      <c r="D7" s="241">
        <v>174316</v>
      </c>
      <c r="E7" s="241">
        <f>ROUND(AVERAGE(B7:D7),0)</f>
        <v>173937</v>
      </c>
      <c r="F7" s="242">
        <v>1072.33</v>
      </c>
      <c r="G7" s="242">
        <v>1031.69</v>
      </c>
      <c r="H7" s="242">
        <v>1088.6600000000001</v>
      </c>
      <c r="I7" s="242">
        <f t="shared" ref="I7:I14" si="0">ROUND(AVERAGE(F7:H7),2)</f>
        <v>1064.23</v>
      </c>
      <c r="J7" s="242">
        <v>4</v>
      </c>
      <c r="K7" s="242">
        <v>4</v>
      </c>
      <c r="L7" s="242">
        <v>4</v>
      </c>
      <c r="M7" s="242">
        <v>15356</v>
      </c>
      <c r="N7" s="242">
        <v>15356</v>
      </c>
      <c r="O7" s="242">
        <v>15356</v>
      </c>
      <c r="P7" s="242">
        <v>576</v>
      </c>
      <c r="Q7" s="242">
        <v>562</v>
      </c>
      <c r="R7" s="242">
        <v>572</v>
      </c>
      <c r="S7" s="243">
        <v>0</v>
      </c>
      <c r="T7" s="243">
        <v>0</v>
      </c>
      <c r="U7" s="243">
        <v>0</v>
      </c>
      <c r="V7" s="244">
        <v>0</v>
      </c>
      <c r="W7" s="245">
        <v>4239</v>
      </c>
      <c r="X7" s="245">
        <v>3846</v>
      </c>
      <c r="Y7" s="245">
        <v>4580</v>
      </c>
      <c r="Z7" s="245">
        <f t="shared" ref="Z7:Z15" si="1">ROUND(AVERAGE(W7:Y7),0)</f>
        <v>4222</v>
      </c>
      <c r="AA7" s="246">
        <v>2478</v>
      </c>
      <c r="AB7" s="246">
        <v>2202</v>
      </c>
      <c r="AC7" s="246">
        <v>3298</v>
      </c>
      <c r="AD7" s="246">
        <f t="shared" ref="AD7:AD15" si="2">ROUND(AVERAGE(AA7:AC7),0)</f>
        <v>2659</v>
      </c>
      <c r="AE7" s="247">
        <v>1761</v>
      </c>
      <c r="AF7" s="247">
        <v>1644</v>
      </c>
      <c r="AG7" s="247">
        <v>1282</v>
      </c>
      <c r="AH7" s="247">
        <f>ROUND(AVERAGE(AE7:AG7),0)</f>
        <v>1562</v>
      </c>
      <c r="AI7" s="248">
        <v>1441</v>
      </c>
      <c r="AJ7" s="248">
        <v>1500</v>
      </c>
      <c r="AK7" s="248">
        <v>1286.3</v>
      </c>
      <c r="AL7" s="248">
        <f t="shared" ref="AL7:AL14" si="3">AVERAGE(AI7:AK7)</f>
        <v>1409.1000000000001</v>
      </c>
      <c r="AM7" s="431"/>
    </row>
    <row r="8" spans="1:39" s="573" customFormat="1" ht="17.100000000000001" customHeight="1" x14ac:dyDescent="0.2">
      <c r="A8" s="518" t="str">
        <f>'Исходные данные'!B5</f>
        <v>МАДОУ ЦРР-детский сад № 11</v>
      </c>
      <c r="B8" s="241">
        <v>141186</v>
      </c>
      <c r="C8" s="241">
        <v>133229</v>
      </c>
      <c r="D8" s="241">
        <v>111894</v>
      </c>
      <c r="E8" s="241">
        <f>ROUND(AVERAGE(B8:D8),0)</f>
        <v>128770</v>
      </c>
      <c r="F8" s="242">
        <v>1464.86</v>
      </c>
      <c r="G8" s="242">
        <v>1416.67</v>
      </c>
      <c r="H8" s="242">
        <v>1239.24</v>
      </c>
      <c r="I8" s="242">
        <f t="shared" si="0"/>
        <v>1373.59</v>
      </c>
      <c r="J8" s="242">
        <v>6</v>
      </c>
      <c r="K8" s="242">
        <v>6</v>
      </c>
      <c r="L8" s="242">
        <v>6</v>
      </c>
      <c r="M8" s="242">
        <v>24281</v>
      </c>
      <c r="N8" s="242">
        <v>24281</v>
      </c>
      <c r="O8" s="242">
        <v>24281</v>
      </c>
      <c r="P8" s="242">
        <v>614</v>
      </c>
      <c r="Q8" s="242">
        <v>649</v>
      </c>
      <c r="R8" s="242">
        <v>621</v>
      </c>
      <c r="S8" s="243">
        <v>0</v>
      </c>
      <c r="T8" s="243">
        <v>0</v>
      </c>
      <c r="U8" s="243">
        <v>0</v>
      </c>
      <c r="V8" s="244">
        <v>0</v>
      </c>
      <c r="W8" s="245">
        <v>5241</v>
      </c>
      <c r="X8" s="245">
        <v>4444</v>
      </c>
      <c r="Y8" s="245">
        <v>4329</v>
      </c>
      <c r="Z8" s="245">
        <f t="shared" si="1"/>
        <v>4671</v>
      </c>
      <c r="AA8" s="246">
        <v>5241.8</v>
      </c>
      <c r="AB8" s="246">
        <v>4444</v>
      </c>
      <c r="AC8" s="246">
        <v>4329</v>
      </c>
      <c r="AD8" s="246">
        <f t="shared" si="2"/>
        <v>4672</v>
      </c>
      <c r="AE8" s="247">
        <v>0</v>
      </c>
      <c r="AF8" s="247">
        <v>0</v>
      </c>
      <c r="AG8" s="247">
        <v>0</v>
      </c>
      <c r="AH8" s="247">
        <f t="shared" ref="AH8:AH14" si="4">ROUND(AVERAGE(AE8:AG8),0)</f>
        <v>0</v>
      </c>
      <c r="AI8" s="248">
        <v>0</v>
      </c>
      <c r="AJ8" s="248">
        <v>0</v>
      </c>
      <c r="AK8" s="248">
        <v>0</v>
      </c>
      <c r="AL8" s="248">
        <f t="shared" si="3"/>
        <v>0</v>
      </c>
      <c r="AM8" s="574"/>
    </row>
    <row r="9" spans="1:39" s="573" customFormat="1" ht="17.100000000000001" customHeight="1" x14ac:dyDescent="0.2">
      <c r="A9" s="518" t="str">
        <f>'Исходные данные'!B6</f>
        <v>МАДОУ ЦРР-детский сад № 13</v>
      </c>
      <c r="B9" s="241">
        <v>231101</v>
      </c>
      <c r="C9" s="241">
        <v>224480</v>
      </c>
      <c r="D9" s="241">
        <v>170531</v>
      </c>
      <c r="E9" s="241">
        <f t="shared" ref="E9:E12" si="5">ROUND(AVERAGE(B9:D9),0)</f>
        <v>208704</v>
      </c>
      <c r="F9" s="242">
        <v>1490.98</v>
      </c>
      <c r="G9" s="242">
        <v>1514.78</v>
      </c>
      <c r="H9" s="242">
        <v>1448.79</v>
      </c>
      <c r="I9" s="242">
        <f t="shared" si="0"/>
        <v>1484.85</v>
      </c>
      <c r="J9" s="242">
        <v>2</v>
      </c>
      <c r="K9" s="242">
        <v>2</v>
      </c>
      <c r="L9" s="242">
        <v>2</v>
      </c>
      <c r="M9" s="242">
        <v>13730.3</v>
      </c>
      <c r="N9" s="242">
        <v>13730.3</v>
      </c>
      <c r="O9" s="242">
        <v>13730.3</v>
      </c>
      <c r="P9" s="242">
        <v>880</v>
      </c>
      <c r="Q9" s="242">
        <v>878</v>
      </c>
      <c r="R9" s="242">
        <v>882</v>
      </c>
      <c r="S9" s="243">
        <v>20.5</v>
      </c>
      <c r="T9" s="243">
        <v>23</v>
      </c>
      <c r="U9" s="243">
        <v>19.2</v>
      </c>
      <c r="V9" s="244">
        <f>ROUND(AVERAGE(S9:U9),0)</f>
        <v>21</v>
      </c>
      <c r="W9" s="245">
        <v>7636</v>
      </c>
      <c r="X9" s="245">
        <v>7561</v>
      </c>
      <c r="Y9" s="245">
        <v>6858</v>
      </c>
      <c r="Z9" s="245">
        <f t="shared" si="1"/>
        <v>7352</v>
      </c>
      <c r="AA9" s="246">
        <v>7131</v>
      </c>
      <c r="AB9" s="246">
        <v>7080</v>
      </c>
      <c r="AC9" s="246">
        <v>6378</v>
      </c>
      <c r="AD9" s="246">
        <f t="shared" si="2"/>
        <v>6863</v>
      </c>
      <c r="AE9" s="247">
        <v>505</v>
      </c>
      <c r="AF9" s="247">
        <v>481</v>
      </c>
      <c r="AG9" s="247">
        <v>480</v>
      </c>
      <c r="AH9" s="247">
        <f t="shared" si="4"/>
        <v>489</v>
      </c>
      <c r="AI9" s="248">
        <v>573.29999999999995</v>
      </c>
      <c r="AJ9" s="248">
        <v>659.1</v>
      </c>
      <c r="AK9" s="248">
        <v>592.79999999999995</v>
      </c>
      <c r="AL9" s="248">
        <f t="shared" si="3"/>
        <v>608.4</v>
      </c>
      <c r="AM9" s="572"/>
    </row>
    <row r="10" spans="1:39" s="569" customFormat="1" ht="33.950000000000003" customHeight="1" x14ac:dyDescent="0.2">
      <c r="A10" s="518" t="str">
        <f>'Исходные данные'!B7</f>
        <v>МАОУ СОШ № 1 структурное подразделение</v>
      </c>
      <c r="B10" s="241">
        <v>113767</v>
      </c>
      <c r="C10" s="241">
        <v>103111</v>
      </c>
      <c r="D10" s="241">
        <v>96612</v>
      </c>
      <c r="E10" s="241">
        <f t="shared" si="5"/>
        <v>104497</v>
      </c>
      <c r="F10" s="242">
        <v>824.07</v>
      </c>
      <c r="G10" s="242">
        <v>877.77</v>
      </c>
      <c r="H10" s="242">
        <v>867.87</v>
      </c>
      <c r="I10" s="242">
        <f t="shared" si="0"/>
        <v>856.57</v>
      </c>
      <c r="J10" s="242">
        <v>2</v>
      </c>
      <c r="K10" s="242">
        <v>2</v>
      </c>
      <c r="L10" s="242">
        <v>2</v>
      </c>
      <c r="M10" s="242">
        <v>12205</v>
      </c>
      <c r="N10" s="242">
        <v>12205</v>
      </c>
      <c r="O10" s="242">
        <v>12205</v>
      </c>
      <c r="P10" s="242">
        <v>467</v>
      </c>
      <c r="Q10" s="242">
        <v>468</v>
      </c>
      <c r="R10" s="242">
        <v>473</v>
      </c>
      <c r="S10" s="243">
        <v>0</v>
      </c>
      <c r="T10" s="243">
        <v>0</v>
      </c>
      <c r="U10" s="243">
        <v>0</v>
      </c>
      <c r="V10" s="244">
        <v>0</v>
      </c>
      <c r="W10" s="245">
        <v>3763</v>
      </c>
      <c r="X10" s="245">
        <v>4196.2700000000004</v>
      </c>
      <c r="Y10" s="245">
        <v>3118</v>
      </c>
      <c r="Z10" s="245">
        <v>3980</v>
      </c>
      <c r="AA10" s="246">
        <v>3763</v>
      </c>
      <c r="AB10" s="246">
        <v>4196.2700000000004</v>
      </c>
      <c r="AC10" s="246">
        <v>3118</v>
      </c>
      <c r="AD10" s="246">
        <v>3980</v>
      </c>
      <c r="AE10" s="247">
        <v>0</v>
      </c>
      <c r="AF10" s="247">
        <v>0</v>
      </c>
      <c r="AG10" s="247">
        <v>0</v>
      </c>
      <c r="AH10" s="247">
        <f t="shared" si="4"/>
        <v>0</v>
      </c>
      <c r="AI10" s="248">
        <v>0</v>
      </c>
      <c r="AJ10" s="248">
        <v>0</v>
      </c>
      <c r="AK10" s="248">
        <v>0</v>
      </c>
      <c r="AL10" s="248">
        <f t="shared" si="3"/>
        <v>0</v>
      </c>
    </row>
    <row r="11" spans="1:39" s="573" customFormat="1" ht="33.950000000000003" customHeight="1" x14ac:dyDescent="0.2">
      <c r="A11" s="518" t="str">
        <f>'Исходные данные'!B8</f>
        <v>МАОУ СОШ № 2 им.М.И.Грибушина структурное подразделение</v>
      </c>
      <c r="B11" s="241">
        <v>94986</v>
      </c>
      <c r="C11" s="241">
        <v>99193</v>
      </c>
      <c r="D11" s="241">
        <v>94678</v>
      </c>
      <c r="E11" s="241">
        <f t="shared" si="5"/>
        <v>96286</v>
      </c>
      <c r="F11" s="242">
        <v>523</v>
      </c>
      <c r="G11" s="242">
        <v>512.86</v>
      </c>
      <c r="H11" s="242">
        <v>468.95</v>
      </c>
      <c r="I11" s="242">
        <f t="shared" si="0"/>
        <v>501.6</v>
      </c>
      <c r="J11" s="242">
        <v>1</v>
      </c>
      <c r="K11" s="242">
        <v>1</v>
      </c>
      <c r="L11" s="242">
        <v>1</v>
      </c>
      <c r="M11" s="242">
        <v>9501</v>
      </c>
      <c r="N11" s="242">
        <v>9501</v>
      </c>
      <c r="O11" s="242">
        <v>9501</v>
      </c>
      <c r="P11" s="242">
        <v>348</v>
      </c>
      <c r="Q11" s="242">
        <v>347</v>
      </c>
      <c r="R11" s="242">
        <v>326</v>
      </c>
      <c r="S11" s="243">
        <v>0</v>
      </c>
      <c r="T11" s="243">
        <v>0</v>
      </c>
      <c r="U11" s="243">
        <v>0</v>
      </c>
      <c r="V11" s="244">
        <v>0</v>
      </c>
      <c r="W11" s="245">
        <v>1938</v>
      </c>
      <c r="X11" s="245">
        <v>1629.4</v>
      </c>
      <c r="Y11" s="245">
        <v>1780</v>
      </c>
      <c r="Z11" s="245">
        <f t="shared" si="1"/>
        <v>1782</v>
      </c>
      <c r="AA11" s="246">
        <v>538</v>
      </c>
      <c r="AB11" s="246">
        <v>303</v>
      </c>
      <c r="AC11" s="246">
        <v>328</v>
      </c>
      <c r="AD11" s="246">
        <f t="shared" si="2"/>
        <v>390</v>
      </c>
      <c r="AE11" s="247">
        <v>1400</v>
      </c>
      <c r="AF11" s="247">
        <v>1326.4</v>
      </c>
      <c r="AG11" s="247">
        <v>1452</v>
      </c>
      <c r="AH11" s="247">
        <f t="shared" si="4"/>
        <v>1393</v>
      </c>
      <c r="AI11" s="248">
        <v>1384.5</v>
      </c>
      <c r="AJ11" s="248">
        <v>1436</v>
      </c>
      <c r="AK11" s="248">
        <v>1475</v>
      </c>
      <c r="AL11" s="248">
        <f t="shared" si="3"/>
        <v>1431.8333333333333</v>
      </c>
    </row>
    <row r="12" spans="1:39" s="569" customFormat="1" ht="33.950000000000003" customHeight="1" x14ac:dyDescent="0.2">
      <c r="A12" s="518" t="str">
        <f>'Исходные данные'!B9</f>
        <v>МАОУ СОШ № 10 структурное подразделение</v>
      </c>
      <c r="B12" s="241">
        <v>53608</v>
      </c>
      <c r="C12" s="241">
        <v>43069</v>
      </c>
      <c r="D12" s="241">
        <v>47111</v>
      </c>
      <c r="E12" s="241">
        <f t="shared" si="5"/>
        <v>47929</v>
      </c>
      <c r="F12" s="242">
        <v>487.62</v>
      </c>
      <c r="G12" s="242">
        <v>535.45000000000005</v>
      </c>
      <c r="H12" s="242">
        <v>495.84</v>
      </c>
      <c r="I12" s="242">
        <f t="shared" si="0"/>
        <v>506.3</v>
      </c>
      <c r="J12" s="242">
        <v>2</v>
      </c>
      <c r="K12" s="242">
        <v>2</v>
      </c>
      <c r="L12" s="242">
        <v>2</v>
      </c>
      <c r="M12" s="242">
        <v>7463</v>
      </c>
      <c r="N12" s="242">
        <v>7463</v>
      </c>
      <c r="O12" s="242">
        <v>7463</v>
      </c>
      <c r="P12" s="242">
        <v>285</v>
      </c>
      <c r="Q12" s="242">
        <v>279</v>
      </c>
      <c r="R12" s="242">
        <v>275</v>
      </c>
      <c r="S12" s="243">
        <v>0</v>
      </c>
      <c r="T12" s="243">
        <v>0</v>
      </c>
      <c r="U12" s="243">
        <v>0</v>
      </c>
      <c r="V12" s="244">
        <v>0</v>
      </c>
      <c r="W12" s="245">
        <v>1893</v>
      </c>
      <c r="X12" s="245">
        <v>1864</v>
      </c>
      <c r="Y12" s="245">
        <v>1837.5</v>
      </c>
      <c r="Z12" s="245">
        <f t="shared" si="1"/>
        <v>1865</v>
      </c>
      <c r="AA12" s="246">
        <v>1893</v>
      </c>
      <c r="AB12" s="246">
        <v>1864</v>
      </c>
      <c r="AC12" s="246">
        <v>1837.5</v>
      </c>
      <c r="AD12" s="246">
        <f t="shared" si="2"/>
        <v>1865</v>
      </c>
      <c r="AE12" s="247">
        <v>0</v>
      </c>
      <c r="AF12" s="247">
        <v>0</v>
      </c>
      <c r="AG12" s="247">
        <v>0</v>
      </c>
      <c r="AH12" s="247">
        <f t="shared" si="4"/>
        <v>0</v>
      </c>
      <c r="AI12" s="248">
        <v>0</v>
      </c>
      <c r="AJ12" s="248">
        <v>0</v>
      </c>
      <c r="AK12" s="248">
        <v>0</v>
      </c>
      <c r="AL12" s="248">
        <f t="shared" si="3"/>
        <v>0</v>
      </c>
    </row>
    <row r="13" spans="1:39" s="569" customFormat="1" ht="33.950000000000003" customHeight="1" x14ac:dyDescent="0.2">
      <c r="A13" s="518" t="str">
        <f>'Исходные данные'!B10</f>
        <v>МАОУ СОШ № 13 структурное подразделение</v>
      </c>
      <c r="B13" s="241">
        <v>124267</v>
      </c>
      <c r="C13" s="241">
        <v>86605</v>
      </c>
      <c r="D13" s="241">
        <v>103953</v>
      </c>
      <c r="E13" s="241">
        <f t="shared" ref="E13" si="6">ROUND(AVERAGE(B13:D13),0)</f>
        <v>104942</v>
      </c>
      <c r="F13" s="242">
        <v>384.2</v>
      </c>
      <c r="G13" s="242">
        <v>411.96</v>
      </c>
      <c r="H13" s="242">
        <v>451.58</v>
      </c>
      <c r="I13" s="242">
        <f t="shared" si="0"/>
        <v>415.91</v>
      </c>
      <c r="J13" s="242">
        <v>1</v>
      </c>
      <c r="K13" s="242">
        <v>1</v>
      </c>
      <c r="L13" s="242">
        <v>1</v>
      </c>
      <c r="M13" s="242">
        <v>2229.8000000000002</v>
      </c>
      <c r="N13" s="242">
        <v>2229.8000000000002</v>
      </c>
      <c r="O13" s="242">
        <v>2229.8000000000002</v>
      </c>
      <c r="P13" s="242">
        <v>285</v>
      </c>
      <c r="Q13" s="242">
        <v>286</v>
      </c>
      <c r="R13" s="242">
        <v>235</v>
      </c>
      <c r="S13" s="243">
        <v>0</v>
      </c>
      <c r="T13" s="243">
        <v>0</v>
      </c>
      <c r="U13" s="243">
        <v>0</v>
      </c>
      <c r="V13" s="244">
        <v>0</v>
      </c>
      <c r="W13" s="245">
        <v>2754</v>
      </c>
      <c r="X13" s="245">
        <v>1947</v>
      </c>
      <c r="Y13" s="245">
        <v>2140</v>
      </c>
      <c r="Z13" s="245">
        <f t="shared" si="1"/>
        <v>2280</v>
      </c>
      <c r="AA13" s="246">
        <v>2754</v>
      </c>
      <c r="AB13" s="246">
        <v>1947</v>
      </c>
      <c r="AC13" s="246">
        <v>2140</v>
      </c>
      <c r="AD13" s="246">
        <f t="shared" si="2"/>
        <v>2280</v>
      </c>
      <c r="AE13" s="247">
        <v>0</v>
      </c>
      <c r="AF13" s="247">
        <v>0</v>
      </c>
      <c r="AG13" s="247">
        <v>0</v>
      </c>
      <c r="AH13" s="247">
        <f t="shared" si="4"/>
        <v>0</v>
      </c>
      <c r="AI13" s="248">
        <v>0</v>
      </c>
      <c r="AJ13" s="248">
        <v>0</v>
      </c>
      <c r="AK13" s="248">
        <v>0</v>
      </c>
      <c r="AL13" s="248">
        <f t="shared" si="3"/>
        <v>0</v>
      </c>
      <c r="AM13" s="570"/>
    </row>
    <row r="14" spans="1:39" s="569" customFormat="1" ht="33.950000000000003" customHeight="1" x14ac:dyDescent="0.2">
      <c r="A14" s="518" t="str">
        <f>'Исходные данные'!B11</f>
        <v>Гимназия № 16 структурное подразделение</v>
      </c>
      <c r="B14" s="241">
        <v>96700</v>
      </c>
      <c r="C14" s="241">
        <v>102305</v>
      </c>
      <c r="D14" s="241">
        <v>106639</v>
      </c>
      <c r="E14" s="241">
        <f>ROUND(AVERAGE(C14:D14),0)</f>
        <v>104472</v>
      </c>
      <c r="F14" s="242">
        <v>1099.4000000000001</v>
      </c>
      <c r="G14" s="242">
        <v>916.45</v>
      </c>
      <c r="H14" s="242">
        <v>1014.18</v>
      </c>
      <c r="I14" s="242">
        <f t="shared" si="0"/>
        <v>1010.01</v>
      </c>
      <c r="J14" s="242">
        <v>2</v>
      </c>
      <c r="K14" s="242">
        <v>2</v>
      </c>
      <c r="L14" s="242">
        <v>2</v>
      </c>
      <c r="M14" s="242">
        <v>17954</v>
      </c>
      <c r="N14" s="242">
        <v>15972</v>
      </c>
      <c r="O14" s="242">
        <v>15972</v>
      </c>
      <c r="P14" s="242">
        <v>503</v>
      </c>
      <c r="Q14" s="242">
        <v>503</v>
      </c>
      <c r="R14" s="242">
        <v>518</v>
      </c>
      <c r="S14" s="243">
        <v>0</v>
      </c>
      <c r="T14" s="243">
        <v>0</v>
      </c>
      <c r="U14" s="243">
        <v>0</v>
      </c>
      <c r="V14" s="244">
        <v>0</v>
      </c>
      <c r="W14" s="245">
        <v>5109</v>
      </c>
      <c r="X14" s="245">
        <v>5419</v>
      </c>
      <c r="Y14" s="245">
        <v>5769.4</v>
      </c>
      <c r="Z14" s="245">
        <f t="shared" si="1"/>
        <v>5432</v>
      </c>
      <c r="AA14" s="246">
        <v>5109</v>
      </c>
      <c r="AB14" s="246">
        <v>5419</v>
      </c>
      <c r="AC14" s="246">
        <v>5769.4</v>
      </c>
      <c r="AD14" s="246">
        <f t="shared" si="2"/>
        <v>5432</v>
      </c>
      <c r="AE14" s="247">
        <v>0</v>
      </c>
      <c r="AF14" s="247">
        <v>0</v>
      </c>
      <c r="AG14" s="247">
        <v>0</v>
      </c>
      <c r="AH14" s="247">
        <f t="shared" si="4"/>
        <v>0</v>
      </c>
      <c r="AI14" s="248">
        <v>0</v>
      </c>
      <c r="AJ14" s="248">
        <v>0</v>
      </c>
      <c r="AK14" s="248">
        <v>0</v>
      </c>
      <c r="AL14" s="248">
        <f t="shared" si="3"/>
        <v>0</v>
      </c>
    </row>
    <row r="15" spans="1:39" s="573" customFormat="1" ht="33.950000000000003" customHeight="1" x14ac:dyDescent="0.2">
      <c r="A15" s="518" t="str">
        <f>'Исходные данные'!B12</f>
        <v>МАОУ ООШ № 17 с кадетскими классами структурное подразделение</v>
      </c>
      <c r="B15" s="241">
        <v>37950</v>
      </c>
      <c r="C15" s="241">
        <v>90174</v>
      </c>
      <c r="D15" s="241">
        <v>71855</v>
      </c>
      <c r="E15" s="241">
        <f>ROUND(AVERAGE(C15:D15),0)</f>
        <v>81015</v>
      </c>
      <c r="F15" s="242">
        <v>504.8</v>
      </c>
      <c r="G15" s="242">
        <v>177.58</v>
      </c>
      <c r="H15" s="242">
        <v>223.21</v>
      </c>
      <c r="I15" s="242">
        <f>H15</f>
        <v>223.21</v>
      </c>
      <c r="J15" s="242">
        <v>0</v>
      </c>
      <c r="K15" s="242">
        <v>0</v>
      </c>
      <c r="L15" s="242">
        <v>0</v>
      </c>
      <c r="M15" s="242">
        <v>4957.22</v>
      </c>
      <c r="N15" s="242">
        <v>4957.22</v>
      </c>
      <c r="O15" s="242">
        <v>4957.22</v>
      </c>
      <c r="P15" s="242"/>
      <c r="Q15" s="242"/>
      <c r="R15" s="242"/>
      <c r="S15" s="243">
        <v>0</v>
      </c>
      <c r="T15" s="243">
        <v>0</v>
      </c>
      <c r="U15" s="243">
        <v>0</v>
      </c>
      <c r="V15" s="244">
        <v>0</v>
      </c>
      <c r="W15" s="245">
        <v>695</v>
      </c>
      <c r="X15" s="245">
        <v>728</v>
      </c>
      <c r="Y15" s="245">
        <v>720</v>
      </c>
      <c r="Z15" s="245">
        <f t="shared" si="1"/>
        <v>714</v>
      </c>
      <c r="AA15" s="246">
        <v>0</v>
      </c>
      <c r="AB15" s="246">
        <v>0</v>
      </c>
      <c r="AC15" s="246">
        <v>0</v>
      </c>
      <c r="AD15" s="246">
        <f t="shared" si="2"/>
        <v>0</v>
      </c>
      <c r="AE15" s="247">
        <v>695</v>
      </c>
      <c r="AF15" s="247">
        <v>728</v>
      </c>
      <c r="AG15" s="247">
        <v>720</v>
      </c>
      <c r="AH15" s="247">
        <v>714.33</v>
      </c>
      <c r="AI15" s="248">
        <v>495</v>
      </c>
      <c r="AJ15" s="248">
        <v>660</v>
      </c>
      <c r="AK15" s="248">
        <v>870</v>
      </c>
      <c r="AL15" s="248">
        <f>AVERAGE(AJ15:AK15)</f>
        <v>765</v>
      </c>
    </row>
    <row r="16" spans="1:39" x14ac:dyDescent="0.2">
      <c r="A16" s="249" t="s">
        <v>9</v>
      </c>
      <c r="B16" s="250">
        <f t="shared" ref="B16:AL16" si="7">SUM(B7:B15)</f>
        <v>1068606</v>
      </c>
      <c r="C16" s="250">
        <f t="shared" si="7"/>
        <v>1054621</v>
      </c>
      <c r="D16" s="250">
        <f t="shared" si="7"/>
        <v>977589</v>
      </c>
      <c r="E16" s="250">
        <f t="shared" si="7"/>
        <v>1050552</v>
      </c>
      <c r="F16" s="250">
        <f t="shared" si="7"/>
        <v>7851.2599999999993</v>
      </c>
      <c r="G16" s="250">
        <f t="shared" si="7"/>
        <v>7395.2099999999991</v>
      </c>
      <c r="H16" s="250">
        <f t="shared" si="7"/>
        <v>7298.3200000000006</v>
      </c>
      <c r="I16" s="250">
        <f t="shared" si="7"/>
        <v>7436.27</v>
      </c>
      <c r="J16" s="250">
        <f t="shared" si="7"/>
        <v>20</v>
      </c>
      <c r="K16" s="250">
        <f t="shared" si="7"/>
        <v>20</v>
      </c>
      <c r="L16" s="250">
        <f t="shared" si="7"/>
        <v>20</v>
      </c>
      <c r="M16" s="250">
        <f t="shared" si="7"/>
        <v>107677.32</v>
      </c>
      <c r="N16" s="250">
        <f t="shared" si="7"/>
        <v>105695.32</v>
      </c>
      <c r="O16" s="250">
        <f t="shared" si="7"/>
        <v>105695.32</v>
      </c>
      <c r="P16" s="250">
        <f t="shared" si="7"/>
        <v>3958</v>
      </c>
      <c r="Q16" s="250">
        <f t="shared" si="7"/>
        <v>3972</v>
      </c>
      <c r="R16" s="250">
        <f t="shared" si="7"/>
        <v>3902</v>
      </c>
      <c r="S16" s="250">
        <f t="shared" si="7"/>
        <v>20.5</v>
      </c>
      <c r="T16" s="250">
        <f t="shared" si="7"/>
        <v>23</v>
      </c>
      <c r="U16" s="250">
        <f t="shared" si="7"/>
        <v>19.2</v>
      </c>
      <c r="V16" s="250">
        <f t="shared" si="7"/>
        <v>21</v>
      </c>
      <c r="W16" s="250">
        <f t="shared" si="7"/>
        <v>33268</v>
      </c>
      <c r="X16" s="250">
        <f t="shared" si="7"/>
        <v>31634.670000000002</v>
      </c>
      <c r="Y16" s="250">
        <f t="shared" si="7"/>
        <v>31131.9</v>
      </c>
      <c r="Z16" s="250">
        <f t="shared" si="7"/>
        <v>32298</v>
      </c>
      <c r="AA16" s="250">
        <f>SUM(AA7:AA15)</f>
        <v>28907.8</v>
      </c>
      <c r="AB16" s="250">
        <f t="shared" si="7"/>
        <v>27455.27</v>
      </c>
      <c r="AC16" s="250">
        <f t="shared" si="7"/>
        <v>27197.9</v>
      </c>
      <c r="AD16" s="250">
        <f t="shared" si="7"/>
        <v>28141</v>
      </c>
      <c r="AE16" s="250">
        <f t="shared" si="7"/>
        <v>4361</v>
      </c>
      <c r="AF16" s="250">
        <f t="shared" si="7"/>
        <v>4179.3999999999996</v>
      </c>
      <c r="AG16" s="250">
        <f t="shared" si="7"/>
        <v>3934</v>
      </c>
      <c r="AH16" s="250">
        <f t="shared" si="7"/>
        <v>4158.33</v>
      </c>
      <c r="AI16" s="250">
        <f t="shared" si="7"/>
        <v>3893.8</v>
      </c>
      <c r="AJ16" s="250">
        <f t="shared" si="7"/>
        <v>4255.1000000000004</v>
      </c>
      <c r="AK16" s="250">
        <f t="shared" si="7"/>
        <v>4224.1000000000004</v>
      </c>
      <c r="AL16" s="250">
        <f t="shared" si="7"/>
        <v>4214.333333333333</v>
      </c>
    </row>
  </sheetData>
  <mergeCells count="39">
    <mergeCell ref="AI4:AI5"/>
    <mergeCell ref="AE4:AE5"/>
    <mergeCell ref="AF4:AF5"/>
    <mergeCell ref="E4:E5"/>
    <mergeCell ref="F4:F5"/>
    <mergeCell ref="AE3:AH3"/>
    <mergeCell ref="B3:E3"/>
    <mergeCell ref="B4:B5"/>
    <mergeCell ref="AB4:AB5"/>
    <mergeCell ref="AC4:AC5"/>
    <mergeCell ref="AD4:AD5"/>
    <mergeCell ref="C4:C5"/>
    <mergeCell ref="D4:D5"/>
    <mergeCell ref="AG4:AG5"/>
    <mergeCell ref="AH4:AH5"/>
    <mergeCell ref="A3:A6"/>
    <mergeCell ref="Y4:Y5"/>
    <mergeCell ref="G4:G5"/>
    <mergeCell ref="H4:H5"/>
    <mergeCell ref="I4:I5"/>
    <mergeCell ref="X4:X5"/>
    <mergeCell ref="S3:V3"/>
    <mergeCell ref="W3:Z3"/>
    <mergeCell ref="AI3:AL3"/>
    <mergeCell ref="J4:L4"/>
    <mergeCell ref="M4:O4"/>
    <mergeCell ref="P4:R4"/>
    <mergeCell ref="S4:S5"/>
    <mergeCell ref="T4:T5"/>
    <mergeCell ref="U4:U5"/>
    <mergeCell ref="V4:V5"/>
    <mergeCell ref="W4:W5"/>
    <mergeCell ref="F3:R3"/>
    <mergeCell ref="AL4:AL5"/>
    <mergeCell ref="AK4:AK5"/>
    <mergeCell ref="Z4:Z5"/>
    <mergeCell ref="AA4:AA5"/>
    <mergeCell ref="AJ4:AJ5"/>
    <mergeCell ref="AA3:AD3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J31"/>
  <sheetViews>
    <sheetView zoomScale="110" zoomScaleNormal="110" workbookViewId="0">
      <selection activeCell="I22" sqref="I22"/>
    </sheetView>
  </sheetViews>
  <sheetFormatPr defaultRowHeight="12.75" x14ac:dyDescent="0.2"/>
  <cols>
    <col min="1" max="1" width="42.85546875" style="18" customWidth="1"/>
    <col min="2" max="2" width="12.7109375" style="18" customWidth="1"/>
    <col min="3" max="4" width="13.42578125" style="18" customWidth="1"/>
    <col min="5" max="5" width="9.140625" style="18" customWidth="1"/>
    <col min="6" max="6" width="10" style="18" customWidth="1"/>
    <col min="7" max="7" width="13.85546875" style="18" customWidth="1"/>
    <col min="8" max="8" width="12.28515625" style="18" bestFit="1" customWidth="1"/>
    <col min="9" max="259" width="9.140625" style="18"/>
    <col min="260" max="260" width="18.7109375" style="18" customWidth="1"/>
    <col min="261" max="262" width="9.140625" style="18"/>
    <col min="263" max="263" width="12" style="18" customWidth="1"/>
    <col min="264" max="515" width="9.140625" style="18"/>
    <col min="516" max="516" width="18.7109375" style="18" customWidth="1"/>
    <col min="517" max="518" width="9.140625" style="18"/>
    <col min="519" max="519" width="12" style="18" customWidth="1"/>
    <col min="520" max="771" width="9.140625" style="18"/>
    <col min="772" max="772" width="18.7109375" style="18" customWidth="1"/>
    <col min="773" max="774" width="9.140625" style="18"/>
    <col min="775" max="775" width="12" style="18" customWidth="1"/>
    <col min="776" max="1027" width="9.140625" style="18"/>
    <col min="1028" max="1028" width="18.7109375" style="18" customWidth="1"/>
    <col min="1029" max="1030" width="9.140625" style="18"/>
    <col min="1031" max="1031" width="12" style="18" customWidth="1"/>
    <col min="1032" max="1283" width="9.140625" style="18"/>
    <col min="1284" max="1284" width="18.7109375" style="18" customWidth="1"/>
    <col min="1285" max="1286" width="9.140625" style="18"/>
    <col min="1287" max="1287" width="12" style="18" customWidth="1"/>
    <col min="1288" max="1539" width="9.140625" style="18"/>
    <col min="1540" max="1540" width="18.7109375" style="18" customWidth="1"/>
    <col min="1541" max="1542" width="9.140625" style="18"/>
    <col min="1543" max="1543" width="12" style="18" customWidth="1"/>
    <col min="1544" max="1795" width="9.140625" style="18"/>
    <col min="1796" max="1796" width="18.7109375" style="18" customWidth="1"/>
    <col min="1797" max="1798" width="9.140625" style="18"/>
    <col min="1799" max="1799" width="12" style="18" customWidth="1"/>
    <col min="1800" max="2051" width="9.140625" style="18"/>
    <col min="2052" max="2052" width="18.7109375" style="18" customWidth="1"/>
    <col min="2053" max="2054" width="9.140625" style="18"/>
    <col min="2055" max="2055" width="12" style="18" customWidth="1"/>
    <col min="2056" max="2307" width="9.140625" style="18"/>
    <col min="2308" max="2308" width="18.7109375" style="18" customWidth="1"/>
    <col min="2309" max="2310" width="9.140625" style="18"/>
    <col min="2311" max="2311" width="12" style="18" customWidth="1"/>
    <col min="2312" max="2563" width="9.140625" style="18"/>
    <col min="2564" max="2564" width="18.7109375" style="18" customWidth="1"/>
    <col min="2565" max="2566" width="9.140625" style="18"/>
    <col min="2567" max="2567" width="12" style="18" customWidth="1"/>
    <col min="2568" max="2819" width="9.140625" style="18"/>
    <col min="2820" max="2820" width="18.7109375" style="18" customWidth="1"/>
    <col min="2821" max="2822" width="9.140625" style="18"/>
    <col min="2823" max="2823" width="12" style="18" customWidth="1"/>
    <col min="2824" max="3075" width="9.140625" style="18"/>
    <col min="3076" max="3076" width="18.7109375" style="18" customWidth="1"/>
    <col min="3077" max="3078" width="9.140625" style="18"/>
    <col min="3079" max="3079" width="12" style="18" customWidth="1"/>
    <col min="3080" max="3331" width="9.140625" style="18"/>
    <col min="3332" max="3332" width="18.7109375" style="18" customWidth="1"/>
    <col min="3333" max="3334" width="9.140625" style="18"/>
    <col min="3335" max="3335" width="12" style="18" customWidth="1"/>
    <col min="3336" max="3587" width="9.140625" style="18"/>
    <col min="3588" max="3588" width="18.7109375" style="18" customWidth="1"/>
    <col min="3589" max="3590" width="9.140625" style="18"/>
    <col min="3591" max="3591" width="12" style="18" customWidth="1"/>
    <col min="3592" max="3843" width="9.140625" style="18"/>
    <col min="3844" max="3844" width="18.7109375" style="18" customWidth="1"/>
    <col min="3845" max="3846" width="9.140625" style="18"/>
    <col min="3847" max="3847" width="12" style="18" customWidth="1"/>
    <col min="3848" max="4099" width="9.140625" style="18"/>
    <col min="4100" max="4100" width="18.7109375" style="18" customWidth="1"/>
    <col min="4101" max="4102" width="9.140625" style="18"/>
    <col min="4103" max="4103" width="12" style="18" customWidth="1"/>
    <col min="4104" max="4355" width="9.140625" style="18"/>
    <col min="4356" max="4356" width="18.7109375" style="18" customWidth="1"/>
    <col min="4357" max="4358" width="9.140625" style="18"/>
    <col min="4359" max="4359" width="12" style="18" customWidth="1"/>
    <col min="4360" max="4611" width="9.140625" style="18"/>
    <col min="4612" max="4612" width="18.7109375" style="18" customWidth="1"/>
    <col min="4613" max="4614" width="9.140625" style="18"/>
    <col min="4615" max="4615" width="12" style="18" customWidth="1"/>
    <col min="4616" max="4867" width="9.140625" style="18"/>
    <col min="4868" max="4868" width="18.7109375" style="18" customWidth="1"/>
    <col min="4869" max="4870" width="9.140625" style="18"/>
    <col min="4871" max="4871" width="12" style="18" customWidth="1"/>
    <col min="4872" max="5123" width="9.140625" style="18"/>
    <col min="5124" max="5124" width="18.7109375" style="18" customWidth="1"/>
    <col min="5125" max="5126" width="9.140625" style="18"/>
    <col min="5127" max="5127" width="12" style="18" customWidth="1"/>
    <col min="5128" max="5379" width="9.140625" style="18"/>
    <col min="5380" max="5380" width="18.7109375" style="18" customWidth="1"/>
    <col min="5381" max="5382" width="9.140625" style="18"/>
    <col min="5383" max="5383" width="12" style="18" customWidth="1"/>
    <col min="5384" max="5635" width="9.140625" style="18"/>
    <col min="5636" max="5636" width="18.7109375" style="18" customWidth="1"/>
    <col min="5637" max="5638" width="9.140625" style="18"/>
    <col min="5639" max="5639" width="12" style="18" customWidth="1"/>
    <col min="5640" max="5891" width="9.140625" style="18"/>
    <col min="5892" max="5892" width="18.7109375" style="18" customWidth="1"/>
    <col min="5893" max="5894" width="9.140625" style="18"/>
    <col min="5895" max="5895" width="12" style="18" customWidth="1"/>
    <col min="5896" max="6147" width="9.140625" style="18"/>
    <col min="6148" max="6148" width="18.7109375" style="18" customWidth="1"/>
    <col min="6149" max="6150" width="9.140625" style="18"/>
    <col min="6151" max="6151" width="12" style="18" customWidth="1"/>
    <col min="6152" max="6403" width="9.140625" style="18"/>
    <col min="6404" max="6404" width="18.7109375" style="18" customWidth="1"/>
    <col min="6405" max="6406" width="9.140625" style="18"/>
    <col min="6407" max="6407" width="12" style="18" customWidth="1"/>
    <col min="6408" max="6659" width="9.140625" style="18"/>
    <col min="6660" max="6660" width="18.7109375" style="18" customWidth="1"/>
    <col min="6661" max="6662" width="9.140625" style="18"/>
    <col min="6663" max="6663" width="12" style="18" customWidth="1"/>
    <col min="6664" max="6915" width="9.140625" style="18"/>
    <col min="6916" max="6916" width="18.7109375" style="18" customWidth="1"/>
    <col min="6917" max="6918" width="9.140625" style="18"/>
    <col min="6919" max="6919" width="12" style="18" customWidth="1"/>
    <col min="6920" max="7171" width="9.140625" style="18"/>
    <col min="7172" max="7172" width="18.7109375" style="18" customWidth="1"/>
    <col min="7173" max="7174" width="9.140625" style="18"/>
    <col min="7175" max="7175" width="12" style="18" customWidth="1"/>
    <col min="7176" max="7427" width="9.140625" style="18"/>
    <col min="7428" max="7428" width="18.7109375" style="18" customWidth="1"/>
    <col min="7429" max="7430" width="9.140625" style="18"/>
    <col min="7431" max="7431" width="12" style="18" customWidth="1"/>
    <col min="7432" max="7683" width="9.140625" style="18"/>
    <col min="7684" max="7684" width="18.7109375" style="18" customWidth="1"/>
    <col min="7685" max="7686" width="9.140625" style="18"/>
    <col min="7687" max="7687" width="12" style="18" customWidth="1"/>
    <col min="7688" max="7939" width="9.140625" style="18"/>
    <col min="7940" max="7940" width="18.7109375" style="18" customWidth="1"/>
    <col min="7941" max="7942" width="9.140625" style="18"/>
    <col min="7943" max="7943" width="12" style="18" customWidth="1"/>
    <col min="7944" max="8195" width="9.140625" style="18"/>
    <col min="8196" max="8196" width="18.7109375" style="18" customWidth="1"/>
    <col min="8197" max="8198" width="9.140625" style="18"/>
    <col min="8199" max="8199" width="12" style="18" customWidth="1"/>
    <col min="8200" max="8451" width="9.140625" style="18"/>
    <col min="8452" max="8452" width="18.7109375" style="18" customWidth="1"/>
    <col min="8453" max="8454" width="9.140625" style="18"/>
    <col min="8455" max="8455" width="12" style="18" customWidth="1"/>
    <col min="8456" max="8707" width="9.140625" style="18"/>
    <col min="8708" max="8708" width="18.7109375" style="18" customWidth="1"/>
    <col min="8709" max="8710" width="9.140625" style="18"/>
    <col min="8711" max="8711" width="12" style="18" customWidth="1"/>
    <col min="8712" max="8963" width="9.140625" style="18"/>
    <col min="8964" max="8964" width="18.7109375" style="18" customWidth="1"/>
    <col min="8965" max="8966" width="9.140625" style="18"/>
    <col min="8967" max="8967" width="12" style="18" customWidth="1"/>
    <col min="8968" max="9219" width="9.140625" style="18"/>
    <col min="9220" max="9220" width="18.7109375" style="18" customWidth="1"/>
    <col min="9221" max="9222" width="9.140625" style="18"/>
    <col min="9223" max="9223" width="12" style="18" customWidth="1"/>
    <col min="9224" max="9475" width="9.140625" style="18"/>
    <col min="9476" max="9476" width="18.7109375" style="18" customWidth="1"/>
    <col min="9477" max="9478" width="9.140625" style="18"/>
    <col min="9479" max="9479" width="12" style="18" customWidth="1"/>
    <col min="9480" max="9731" width="9.140625" style="18"/>
    <col min="9732" max="9732" width="18.7109375" style="18" customWidth="1"/>
    <col min="9733" max="9734" width="9.140625" style="18"/>
    <col min="9735" max="9735" width="12" style="18" customWidth="1"/>
    <col min="9736" max="9987" width="9.140625" style="18"/>
    <col min="9988" max="9988" width="18.7109375" style="18" customWidth="1"/>
    <col min="9989" max="9990" width="9.140625" style="18"/>
    <col min="9991" max="9991" width="12" style="18" customWidth="1"/>
    <col min="9992" max="10243" width="9.140625" style="18"/>
    <col min="10244" max="10244" width="18.7109375" style="18" customWidth="1"/>
    <col min="10245" max="10246" width="9.140625" style="18"/>
    <col min="10247" max="10247" width="12" style="18" customWidth="1"/>
    <col min="10248" max="10499" width="9.140625" style="18"/>
    <col min="10500" max="10500" width="18.7109375" style="18" customWidth="1"/>
    <col min="10501" max="10502" width="9.140625" style="18"/>
    <col min="10503" max="10503" width="12" style="18" customWidth="1"/>
    <col min="10504" max="10755" width="9.140625" style="18"/>
    <col min="10756" max="10756" width="18.7109375" style="18" customWidth="1"/>
    <col min="10757" max="10758" width="9.140625" style="18"/>
    <col min="10759" max="10759" width="12" style="18" customWidth="1"/>
    <col min="10760" max="11011" width="9.140625" style="18"/>
    <col min="11012" max="11012" width="18.7109375" style="18" customWidth="1"/>
    <col min="11013" max="11014" width="9.140625" style="18"/>
    <col min="11015" max="11015" width="12" style="18" customWidth="1"/>
    <col min="11016" max="11267" width="9.140625" style="18"/>
    <col min="11268" max="11268" width="18.7109375" style="18" customWidth="1"/>
    <col min="11269" max="11270" width="9.140625" style="18"/>
    <col min="11271" max="11271" width="12" style="18" customWidth="1"/>
    <col min="11272" max="11523" width="9.140625" style="18"/>
    <col min="11524" max="11524" width="18.7109375" style="18" customWidth="1"/>
    <col min="11525" max="11526" width="9.140625" style="18"/>
    <col min="11527" max="11527" width="12" style="18" customWidth="1"/>
    <col min="11528" max="11779" width="9.140625" style="18"/>
    <col min="11780" max="11780" width="18.7109375" style="18" customWidth="1"/>
    <col min="11781" max="11782" width="9.140625" style="18"/>
    <col min="11783" max="11783" width="12" style="18" customWidth="1"/>
    <col min="11784" max="12035" width="9.140625" style="18"/>
    <col min="12036" max="12036" width="18.7109375" style="18" customWidth="1"/>
    <col min="12037" max="12038" width="9.140625" style="18"/>
    <col min="12039" max="12039" width="12" style="18" customWidth="1"/>
    <col min="12040" max="12291" width="9.140625" style="18"/>
    <col min="12292" max="12292" width="18.7109375" style="18" customWidth="1"/>
    <col min="12293" max="12294" width="9.140625" style="18"/>
    <col min="12295" max="12295" width="12" style="18" customWidth="1"/>
    <col min="12296" max="12547" width="9.140625" style="18"/>
    <col min="12548" max="12548" width="18.7109375" style="18" customWidth="1"/>
    <col min="12549" max="12550" width="9.140625" style="18"/>
    <col min="12551" max="12551" width="12" style="18" customWidth="1"/>
    <col min="12552" max="12803" width="9.140625" style="18"/>
    <col min="12804" max="12804" width="18.7109375" style="18" customWidth="1"/>
    <col min="12805" max="12806" width="9.140625" style="18"/>
    <col min="12807" max="12807" width="12" style="18" customWidth="1"/>
    <col min="12808" max="13059" width="9.140625" style="18"/>
    <col min="13060" max="13060" width="18.7109375" style="18" customWidth="1"/>
    <col min="13061" max="13062" width="9.140625" style="18"/>
    <col min="13063" max="13063" width="12" style="18" customWidth="1"/>
    <col min="13064" max="13315" width="9.140625" style="18"/>
    <col min="13316" max="13316" width="18.7109375" style="18" customWidth="1"/>
    <col min="13317" max="13318" width="9.140625" style="18"/>
    <col min="13319" max="13319" width="12" style="18" customWidth="1"/>
    <col min="13320" max="13571" width="9.140625" style="18"/>
    <col min="13572" max="13572" width="18.7109375" style="18" customWidth="1"/>
    <col min="13573" max="13574" width="9.140625" style="18"/>
    <col min="13575" max="13575" width="12" style="18" customWidth="1"/>
    <col min="13576" max="13827" width="9.140625" style="18"/>
    <col min="13828" max="13828" width="18.7109375" style="18" customWidth="1"/>
    <col min="13829" max="13830" width="9.140625" style="18"/>
    <col min="13831" max="13831" width="12" style="18" customWidth="1"/>
    <col min="13832" max="14083" width="9.140625" style="18"/>
    <col min="14084" max="14084" width="18.7109375" style="18" customWidth="1"/>
    <col min="14085" max="14086" width="9.140625" style="18"/>
    <col min="14087" max="14087" width="12" style="18" customWidth="1"/>
    <col min="14088" max="14339" width="9.140625" style="18"/>
    <col min="14340" max="14340" width="18.7109375" style="18" customWidth="1"/>
    <col min="14341" max="14342" width="9.140625" style="18"/>
    <col min="14343" max="14343" width="12" style="18" customWidth="1"/>
    <col min="14344" max="14595" width="9.140625" style="18"/>
    <col min="14596" max="14596" width="18.7109375" style="18" customWidth="1"/>
    <col min="14597" max="14598" width="9.140625" style="18"/>
    <col min="14599" max="14599" width="12" style="18" customWidth="1"/>
    <col min="14600" max="14851" width="9.140625" style="18"/>
    <col min="14852" max="14852" width="18.7109375" style="18" customWidth="1"/>
    <col min="14853" max="14854" width="9.140625" style="18"/>
    <col min="14855" max="14855" width="12" style="18" customWidth="1"/>
    <col min="14856" max="15107" width="9.140625" style="18"/>
    <col min="15108" max="15108" width="18.7109375" style="18" customWidth="1"/>
    <col min="15109" max="15110" width="9.140625" style="18"/>
    <col min="15111" max="15111" width="12" style="18" customWidth="1"/>
    <col min="15112" max="15363" width="9.140625" style="18"/>
    <col min="15364" max="15364" width="18.7109375" style="18" customWidth="1"/>
    <col min="15365" max="15366" width="9.140625" style="18"/>
    <col min="15367" max="15367" width="12" style="18" customWidth="1"/>
    <col min="15368" max="15619" width="9.140625" style="18"/>
    <col min="15620" max="15620" width="18.7109375" style="18" customWidth="1"/>
    <col min="15621" max="15622" width="9.140625" style="18"/>
    <col min="15623" max="15623" width="12" style="18" customWidth="1"/>
    <col min="15624" max="15875" width="9.140625" style="18"/>
    <col min="15876" max="15876" width="18.7109375" style="18" customWidth="1"/>
    <col min="15877" max="15878" width="9.140625" style="18"/>
    <col min="15879" max="15879" width="12" style="18" customWidth="1"/>
    <col min="15880" max="16131" width="9.140625" style="18"/>
    <col min="16132" max="16132" width="18.7109375" style="18" customWidth="1"/>
    <col min="16133" max="16134" width="9.140625" style="18"/>
    <col min="16135" max="16135" width="12" style="18" customWidth="1"/>
    <col min="16136" max="16384" width="9.140625" style="18"/>
  </cols>
  <sheetData>
    <row r="1" spans="1:10" x14ac:dyDescent="0.2">
      <c r="A1" s="564" t="s">
        <v>416</v>
      </c>
      <c r="B1" s="107"/>
      <c r="C1" s="107"/>
      <c r="D1" s="107"/>
    </row>
    <row r="3" spans="1:10" ht="33.75" customHeight="1" x14ac:dyDescent="0.2">
      <c r="A3" s="989" t="s">
        <v>132</v>
      </c>
      <c r="B3" s="1021" t="str">
        <f>'Стрелец- мониторинг'!B2</f>
        <v xml:space="preserve">Нормативная численность обучающихся </v>
      </c>
      <c r="C3" s="989" t="s">
        <v>328</v>
      </c>
      <c r="D3" s="1084" t="s">
        <v>322</v>
      </c>
      <c r="E3" s="985" t="s">
        <v>46</v>
      </c>
      <c r="F3" s="986"/>
      <c r="G3" s="987"/>
      <c r="H3" s="1139" t="s">
        <v>25</v>
      </c>
    </row>
    <row r="4" spans="1:10" ht="69.75" customHeight="1" x14ac:dyDescent="0.2">
      <c r="A4" s="990"/>
      <c r="B4" s="1023"/>
      <c r="C4" s="990"/>
      <c r="D4" s="1085"/>
      <c r="E4" s="220" t="s">
        <v>47</v>
      </c>
      <c r="F4" s="220" t="s">
        <v>2</v>
      </c>
      <c r="G4" s="220" t="s">
        <v>48</v>
      </c>
      <c r="H4" s="1061"/>
    </row>
    <row r="5" spans="1:10" x14ac:dyDescent="0.2">
      <c r="A5" s="1136" t="str">
        <f>'Лабораторные исследования'!A4</f>
        <v>МАДОУ ЦРР-детский сад № 2</v>
      </c>
      <c r="B5" s="1068">
        <f>'Лабораторные исследования'!B4</f>
        <v>506</v>
      </c>
      <c r="C5" s="681">
        <v>1</v>
      </c>
      <c r="D5" s="1089">
        <f>ROUND((C5+C6+C7+C8)/B5,3)</f>
        <v>8.0000000000000002E-3</v>
      </c>
      <c r="E5" s="214">
        <v>12</v>
      </c>
      <c r="F5" s="214">
        <v>1912.08</v>
      </c>
      <c r="G5" s="214">
        <f>C5*E5*F5</f>
        <v>22944.959999999999</v>
      </c>
      <c r="H5" s="1140">
        <f>G5+G6+G7+G8</f>
        <v>91779.839999999997</v>
      </c>
      <c r="J5" s="18" t="s">
        <v>603</v>
      </c>
    </row>
    <row r="6" spans="1:10" x14ac:dyDescent="0.2">
      <c r="A6" s="1137"/>
      <c r="B6" s="1071"/>
      <c r="C6" s="681">
        <v>1</v>
      </c>
      <c r="D6" s="1090"/>
      <c r="E6" s="214">
        <v>12</v>
      </c>
      <c r="F6" s="214">
        <v>1912.08</v>
      </c>
      <c r="G6" s="214">
        <f>C6*E6*F6</f>
        <v>22944.959999999999</v>
      </c>
      <c r="H6" s="1062"/>
    </row>
    <row r="7" spans="1:10" x14ac:dyDescent="0.2">
      <c r="A7" s="1137"/>
      <c r="B7" s="1071"/>
      <c r="C7" s="681">
        <v>1</v>
      </c>
      <c r="D7" s="1090"/>
      <c r="E7" s="214">
        <v>12</v>
      </c>
      <c r="F7" s="214">
        <v>1912.08</v>
      </c>
      <c r="G7" s="214">
        <f t="shared" ref="G7:G12" si="0">C7*E7*F7</f>
        <v>22944.959999999999</v>
      </c>
      <c r="H7" s="1062"/>
    </row>
    <row r="8" spans="1:10" x14ac:dyDescent="0.2">
      <c r="A8" s="1138"/>
      <c r="B8" s="1069"/>
      <c r="C8" s="681">
        <v>1</v>
      </c>
      <c r="D8" s="1091"/>
      <c r="E8" s="214">
        <v>12</v>
      </c>
      <c r="F8" s="214">
        <v>1912.08</v>
      </c>
      <c r="G8" s="214">
        <f t="shared" si="0"/>
        <v>22944.959999999999</v>
      </c>
      <c r="H8" s="1061"/>
    </row>
    <row r="9" spans="1:10" x14ac:dyDescent="0.2">
      <c r="A9" s="1136" t="str">
        <f>'Лабораторные исследования'!A5</f>
        <v>МАДОУ ЦРР-детский сад № 11</v>
      </c>
      <c r="B9" s="1068">
        <f>'Лабораторные исследования'!B5</f>
        <v>559</v>
      </c>
      <c r="C9" s="681">
        <v>1</v>
      </c>
      <c r="D9" s="1089">
        <f>ROUND((C9+C10+C11+C12)/B9,3)</f>
        <v>7.0000000000000001E-3</v>
      </c>
      <c r="E9" s="214">
        <v>12</v>
      </c>
      <c r="F9" s="214">
        <v>1752.74</v>
      </c>
      <c r="G9" s="214">
        <f t="shared" si="0"/>
        <v>21032.880000000001</v>
      </c>
      <c r="H9" s="1140">
        <f>G9+G10+G11+G12</f>
        <v>84131.520000000004</v>
      </c>
      <c r="J9" s="663" t="s">
        <v>587</v>
      </c>
    </row>
    <row r="10" spans="1:10" x14ac:dyDescent="0.2">
      <c r="A10" s="1137"/>
      <c r="B10" s="1071"/>
      <c r="C10" s="681">
        <v>1</v>
      </c>
      <c r="D10" s="1090"/>
      <c r="E10" s="214">
        <v>12</v>
      </c>
      <c r="F10" s="214">
        <v>1752.74</v>
      </c>
      <c r="G10" s="214">
        <f t="shared" si="0"/>
        <v>21032.880000000001</v>
      </c>
      <c r="H10" s="1062"/>
    </row>
    <row r="11" spans="1:10" x14ac:dyDescent="0.2">
      <c r="A11" s="1137"/>
      <c r="B11" s="1071"/>
      <c r="C11" s="681">
        <v>1</v>
      </c>
      <c r="D11" s="1090"/>
      <c r="E11" s="214">
        <v>12</v>
      </c>
      <c r="F11" s="214">
        <v>1752.74</v>
      </c>
      <c r="G11" s="214">
        <f t="shared" si="0"/>
        <v>21032.880000000001</v>
      </c>
      <c r="H11" s="1062"/>
    </row>
    <row r="12" spans="1:10" x14ac:dyDescent="0.2">
      <c r="A12" s="1138"/>
      <c r="B12" s="1069"/>
      <c r="C12" s="681">
        <v>1</v>
      </c>
      <c r="D12" s="1091"/>
      <c r="E12" s="214">
        <v>12</v>
      </c>
      <c r="F12" s="214">
        <v>1752.74</v>
      </c>
      <c r="G12" s="214">
        <f t="shared" si="0"/>
        <v>21032.880000000001</v>
      </c>
      <c r="H12" s="1061"/>
    </row>
    <row r="13" spans="1:10" x14ac:dyDescent="0.2">
      <c r="A13" s="1136" t="str">
        <f>'Лабораторные исследования'!A6</f>
        <v>МАДОУ ЦРР-детский сад № 13</v>
      </c>
      <c r="B13" s="1068">
        <f>'Лабораторные исследования'!B6</f>
        <v>633</v>
      </c>
      <c r="C13" s="681">
        <v>1</v>
      </c>
      <c r="D13" s="1089">
        <f>ROUND((C13+C14+C15+C16+C17)/B13,3)</f>
        <v>8.0000000000000002E-3</v>
      </c>
      <c r="E13" s="214">
        <v>12</v>
      </c>
      <c r="F13" s="214">
        <v>2006.32</v>
      </c>
      <c r="G13" s="214">
        <f t="shared" ref="G13:G20" si="1">C13*E13*F13</f>
        <v>24075.84</v>
      </c>
      <c r="H13" s="1140">
        <f>G13+G14+G15+G16+G17</f>
        <v>118117.44</v>
      </c>
      <c r="J13" s="18" t="s">
        <v>595</v>
      </c>
    </row>
    <row r="14" spans="1:10" x14ac:dyDescent="0.2">
      <c r="A14" s="1137"/>
      <c r="B14" s="1071"/>
      <c r="C14" s="681">
        <v>1</v>
      </c>
      <c r="D14" s="1090"/>
      <c r="E14" s="214">
        <v>12</v>
      </c>
      <c r="F14" s="214">
        <v>2006.32</v>
      </c>
      <c r="G14" s="214">
        <f t="shared" si="1"/>
        <v>24075.84</v>
      </c>
      <c r="H14" s="1062"/>
    </row>
    <row r="15" spans="1:10" x14ac:dyDescent="0.2">
      <c r="A15" s="1137"/>
      <c r="B15" s="1071"/>
      <c r="C15" s="681">
        <v>1</v>
      </c>
      <c r="D15" s="1090"/>
      <c r="E15" s="214">
        <v>12</v>
      </c>
      <c r="F15" s="214">
        <v>2006.32</v>
      </c>
      <c r="G15" s="214">
        <f t="shared" si="1"/>
        <v>24075.84</v>
      </c>
      <c r="H15" s="1062"/>
    </row>
    <row r="16" spans="1:10" x14ac:dyDescent="0.2">
      <c r="A16" s="1137"/>
      <c r="B16" s="1071"/>
      <c r="C16" s="681">
        <v>1</v>
      </c>
      <c r="D16" s="1090"/>
      <c r="E16" s="214">
        <v>12</v>
      </c>
      <c r="F16" s="214">
        <v>1912.08</v>
      </c>
      <c r="G16" s="214">
        <f t="shared" si="1"/>
        <v>22944.959999999999</v>
      </c>
      <c r="H16" s="1062"/>
    </row>
    <row r="17" spans="1:10" x14ac:dyDescent="0.2">
      <c r="A17" s="1138"/>
      <c r="B17" s="1069"/>
      <c r="C17" s="681">
        <v>1</v>
      </c>
      <c r="D17" s="1091"/>
      <c r="E17" s="214">
        <v>12</v>
      </c>
      <c r="F17" s="214">
        <v>1912.08</v>
      </c>
      <c r="G17" s="214">
        <f>C17*E17*F17</f>
        <v>22944.959999999999</v>
      </c>
      <c r="H17" s="1061"/>
    </row>
    <row r="18" spans="1:10" x14ac:dyDescent="0.2">
      <c r="A18" s="1136" t="str">
        <f>'Лабораторные исследования'!A7</f>
        <v>МАОУ СОШ № 1 структурное подразделение</v>
      </c>
      <c r="B18" s="1068">
        <f>'Лабораторные исследования'!B7</f>
        <v>381</v>
      </c>
      <c r="C18" s="714">
        <v>1</v>
      </c>
      <c r="D18" s="1089">
        <f>ROUND((C18+C19)/B18,3)</f>
        <v>5.0000000000000001E-3</v>
      </c>
      <c r="E18" s="214">
        <v>12</v>
      </c>
      <c r="F18" s="214">
        <v>2230.7600000000002</v>
      </c>
      <c r="G18" s="214">
        <f t="shared" si="1"/>
        <v>26769.120000000003</v>
      </c>
      <c r="H18" s="1140">
        <f>G18+G19</f>
        <v>53538.240000000005</v>
      </c>
      <c r="J18" s="18" t="s">
        <v>622</v>
      </c>
    </row>
    <row r="19" spans="1:10" x14ac:dyDescent="0.2">
      <c r="A19" s="1138"/>
      <c r="B19" s="1069"/>
      <c r="C19" s="714">
        <v>1</v>
      </c>
      <c r="D19" s="1091"/>
      <c r="E19" s="214">
        <v>12</v>
      </c>
      <c r="F19" s="214">
        <v>2230.7600000000002</v>
      </c>
      <c r="G19" s="214">
        <f t="shared" si="1"/>
        <v>26769.120000000003</v>
      </c>
      <c r="H19" s="1061"/>
    </row>
    <row r="20" spans="1:10" ht="12.75" customHeight="1" x14ac:dyDescent="0.2">
      <c r="A20" s="1136" t="str">
        <f>'Лабораторные исследования'!A8</f>
        <v>МАОУ СОШ № 2 им.М.И.Грибушина структурное подразделение</v>
      </c>
      <c r="B20" s="1068">
        <f>'Лабораторные исследования'!B8</f>
        <v>288</v>
      </c>
      <c r="C20" s="627">
        <v>1</v>
      </c>
      <c r="D20" s="1089">
        <f>ROUND((C20+C21+C22)/B20,3)</f>
        <v>0.01</v>
      </c>
      <c r="E20" s="214">
        <v>12</v>
      </c>
      <c r="F20" s="214">
        <v>1912.08</v>
      </c>
      <c r="G20" s="214">
        <f t="shared" si="1"/>
        <v>22944.959999999999</v>
      </c>
      <c r="H20" s="1140">
        <f>G20+G21+G22</f>
        <v>68834.880000000005</v>
      </c>
      <c r="J20" s="663" t="s">
        <v>629</v>
      </c>
    </row>
    <row r="21" spans="1:10" ht="12.75" customHeight="1" x14ac:dyDescent="0.2">
      <c r="A21" s="1137"/>
      <c r="B21" s="1071"/>
      <c r="C21" s="627">
        <v>1</v>
      </c>
      <c r="D21" s="1090"/>
      <c r="E21" s="214">
        <v>12</v>
      </c>
      <c r="F21" s="214">
        <v>1912.08</v>
      </c>
      <c r="G21" s="214">
        <f t="shared" ref="G21:G22" si="2">C21*E21*F21</f>
        <v>22944.959999999999</v>
      </c>
      <c r="H21" s="1062"/>
    </row>
    <row r="22" spans="1:10" ht="12.75" customHeight="1" x14ac:dyDescent="0.2">
      <c r="A22" s="1138"/>
      <c r="B22" s="1069"/>
      <c r="C22" s="627">
        <v>1</v>
      </c>
      <c r="D22" s="1091"/>
      <c r="E22" s="214">
        <v>12</v>
      </c>
      <c r="F22" s="214">
        <v>1912.08</v>
      </c>
      <c r="G22" s="214">
        <f t="shared" si="2"/>
        <v>22944.959999999999</v>
      </c>
      <c r="H22" s="1061"/>
    </row>
    <row r="23" spans="1:10" x14ac:dyDescent="0.2">
      <c r="A23" s="1136" t="str">
        <f>'Лабораторные исследования'!A9</f>
        <v>МАОУ СОШ № 10 структурное подразделение</v>
      </c>
      <c r="B23" s="1068">
        <f>'Лабораторные исследования'!B9</f>
        <v>262</v>
      </c>
      <c r="C23" s="714">
        <v>1</v>
      </c>
      <c r="D23" s="1089">
        <f>ROUND((C23+C24)/B23,3)</f>
        <v>8.0000000000000002E-3</v>
      </c>
      <c r="E23" s="214">
        <v>12</v>
      </c>
      <c r="F23" s="214">
        <v>1229.27</v>
      </c>
      <c r="G23" s="214">
        <f>C23*E23*F23</f>
        <v>14751.24</v>
      </c>
      <c r="H23" s="1140">
        <f>G23+G24</f>
        <v>29502.48</v>
      </c>
      <c r="J23" s="18" t="s">
        <v>624</v>
      </c>
    </row>
    <row r="24" spans="1:10" x14ac:dyDescent="0.2">
      <c r="A24" s="1138"/>
      <c r="B24" s="1069"/>
      <c r="C24" s="714">
        <v>1</v>
      </c>
      <c r="D24" s="1091"/>
      <c r="E24" s="214">
        <v>12</v>
      </c>
      <c r="F24" s="214">
        <v>1229.27</v>
      </c>
      <c r="G24" s="214">
        <f>C24*E24*F24</f>
        <v>14751.24</v>
      </c>
      <c r="H24" s="1061"/>
    </row>
    <row r="25" spans="1:10" x14ac:dyDescent="0.2">
      <c r="A25" s="675" t="str">
        <f>'Лабораторные исследования'!A10</f>
        <v>МАОУ СОШ № 13 структурное подразделение</v>
      </c>
      <c r="B25" s="669">
        <f>'Лабораторные исследования'!B10</f>
        <v>224</v>
      </c>
      <c r="C25" s="668">
        <f>'Исходные данные'!C10</f>
        <v>1</v>
      </c>
      <c r="D25" s="671">
        <f>ROUND(C25/B25,3)</f>
        <v>4.0000000000000001E-3</v>
      </c>
      <c r="E25" s="214">
        <v>12</v>
      </c>
      <c r="F25" s="214">
        <v>1185.3699999999999</v>
      </c>
      <c r="G25" s="214">
        <f>C25*E25*F25</f>
        <v>14224.439999999999</v>
      </c>
      <c r="H25" s="676">
        <f>G25</f>
        <v>14224.439999999999</v>
      </c>
      <c r="J25" s="663" t="s">
        <v>634</v>
      </c>
    </row>
    <row r="26" spans="1:10" x14ac:dyDescent="0.2">
      <c r="A26" s="1136" t="str">
        <f>'Лабораторные исследования'!A11</f>
        <v>Гимназия № 16 структурное подразделение</v>
      </c>
      <c r="B26" s="1068">
        <f>'Лабораторные исследования'!B11</f>
        <v>456</v>
      </c>
      <c r="C26" s="209">
        <v>1</v>
      </c>
      <c r="D26" s="1089">
        <f>ROUND((C26+C27+C28)/B26,3)</f>
        <v>7.0000000000000001E-3</v>
      </c>
      <c r="E26" s="214">
        <v>12</v>
      </c>
      <c r="F26" s="214">
        <v>1912.08</v>
      </c>
      <c r="G26" s="214">
        <f>C26*E26*F26</f>
        <v>22944.959999999999</v>
      </c>
      <c r="H26" s="1140">
        <f>G26+G27+G28</f>
        <v>68834.880000000005</v>
      </c>
      <c r="J26" s="663" t="s">
        <v>480</v>
      </c>
    </row>
    <row r="27" spans="1:10" x14ac:dyDescent="0.2">
      <c r="A27" s="1137"/>
      <c r="B27" s="1071"/>
      <c r="C27" s="531">
        <v>1</v>
      </c>
      <c r="D27" s="1090"/>
      <c r="E27" s="214">
        <v>12</v>
      </c>
      <c r="F27" s="214">
        <v>1912.08</v>
      </c>
      <c r="G27" s="214">
        <f t="shared" ref="G27:G28" si="3">C27*E27*F27</f>
        <v>22944.959999999999</v>
      </c>
      <c r="H27" s="1062"/>
    </row>
    <row r="28" spans="1:10" x14ac:dyDescent="0.2">
      <c r="A28" s="1138"/>
      <c r="B28" s="1069"/>
      <c r="C28" s="531">
        <v>1</v>
      </c>
      <c r="D28" s="1091"/>
      <c r="E28" s="214">
        <v>12</v>
      </c>
      <c r="F28" s="214">
        <v>1912.08</v>
      </c>
      <c r="G28" s="214">
        <f t="shared" si="3"/>
        <v>22944.959999999999</v>
      </c>
      <c r="H28" s="1061"/>
    </row>
    <row r="29" spans="1:10" ht="26.25" thickBot="1" x14ac:dyDescent="0.25">
      <c r="A29" s="675" t="str">
        <f>'Лабораторные исследования'!A12</f>
        <v>МАОУ ООШ № 17 с кадетскими классами структурное подразделение</v>
      </c>
      <c r="B29" s="647">
        <f>'Лабораторные исследования'!B12</f>
        <v>189</v>
      </c>
      <c r="C29" s="645">
        <f>'Исходные данные'!C12</f>
        <v>1</v>
      </c>
      <c r="D29" s="657">
        <f>ROUND(C29/B29,3)</f>
        <v>5.0000000000000001E-3</v>
      </c>
      <c r="E29" s="214">
        <v>12</v>
      </c>
      <c r="F29" s="214">
        <v>1912.08</v>
      </c>
      <c r="G29" s="214">
        <f>C29*E29*F29</f>
        <v>22944.959999999999</v>
      </c>
      <c r="H29" s="676">
        <f>G29</f>
        <v>22944.959999999999</v>
      </c>
      <c r="J29" s="18" t="s">
        <v>501</v>
      </c>
    </row>
    <row r="30" spans="1:10" ht="13.5" thickBot="1" x14ac:dyDescent="0.25">
      <c r="A30" s="71" t="s">
        <v>1</v>
      </c>
      <c r="B30" s="296">
        <f>SUM(B5:B29)</f>
        <v>3498</v>
      </c>
      <c r="C30" s="296">
        <f>SUM(C5:C29)</f>
        <v>25</v>
      </c>
      <c r="D30" s="396">
        <f>ROUND(MEDIAN(D5:D29),3)</f>
        <v>7.0000000000000001E-3</v>
      </c>
      <c r="E30" s="299"/>
      <c r="F30" s="395">
        <f>ROUND(AVERAGE(F5:F29),2)</f>
        <v>1839.7</v>
      </c>
      <c r="G30" s="300">
        <f>SUM(G5:G29)</f>
        <v>551908.68000000005</v>
      </c>
      <c r="H30" s="300">
        <f>SUM(H5:H29)</f>
        <v>551908.67999999993</v>
      </c>
    </row>
    <row r="31" spans="1:10" x14ac:dyDescent="0.2">
      <c r="E31" s="138" t="s">
        <v>234</v>
      </c>
      <c r="F31" s="140"/>
      <c r="G31" s="141">
        <f>ROUND(D30*F30,2)</f>
        <v>12.88</v>
      </c>
    </row>
  </sheetData>
  <mergeCells count="34">
    <mergeCell ref="A20:A22"/>
    <mergeCell ref="B20:B22"/>
    <mergeCell ref="D20:D22"/>
    <mergeCell ref="H20:H22"/>
    <mergeCell ref="A26:A28"/>
    <mergeCell ref="B26:B28"/>
    <mergeCell ref="D26:D28"/>
    <mergeCell ref="H26:H28"/>
    <mergeCell ref="A23:A24"/>
    <mergeCell ref="B23:B24"/>
    <mergeCell ref="D23:D24"/>
    <mergeCell ref="H23:H24"/>
    <mergeCell ref="A13:A17"/>
    <mergeCell ref="B13:B17"/>
    <mergeCell ref="D13:D17"/>
    <mergeCell ref="H13:H17"/>
    <mergeCell ref="A18:A19"/>
    <mergeCell ref="B18:B19"/>
    <mergeCell ref="D18:D19"/>
    <mergeCell ref="H18:H19"/>
    <mergeCell ref="A9:A12"/>
    <mergeCell ref="B9:B12"/>
    <mergeCell ref="D9:D12"/>
    <mergeCell ref="H3:H4"/>
    <mergeCell ref="H9:H12"/>
    <mergeCell ref="A3:A4"/>
    <mergeCell ref="E3:G3"/>
    <mergeCell ref="C3:C4"/>
    <mergeCell ref="B3:B4"/>
    <mergeCell ref="D3:D4"/>
    <mergeCell ref="A5:A8"/>
    <mergeCell ref="B5:B8"/>
    <mergeCell ref="D5:D8"/>
    <mergeCell ref="H5:H8"/>
  </mergeCells>
  <pageMargins left="0.25" right="0.25" top="0.75" bottom="0.75" header="0.3" footer="0.3"/>
  <pageSetup paperSize="9" scale="77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/>
  <dimension ref="A1:G14"/>
  <sheetViews>
    <sheetView zoomScale="110" zoomScaleNormal="110" workbookViewId="0">
      <selection activeCell="I22" sqref="I22"/>
    </sheetView>
  </sheetViews>
  <sheetFormatPr defaultColWidth="8.85546875" defaultRowHeight="12.75" x14ac:dyDescent="0.2"/>
  <cols>
    <col min="1" max="1" width="42.7109375" style="14" customWidth="1"/>
    <col min="2" max="2" width="12.7109375" style="14" customWidth="1"/>
    <col min="3" max="3" width="12.5703125" style="14" customWidth="1"/>
    <col min="4" max="4" width="11.7109375" style="14" customWidth="1"/>
    <col min="5" max="5" width="15.7109375" style="14" customWidth="1"/>
    <col min="6" max="6" width="11.7109375" style="14" customWidth="1"/>
    <col min="7" max="7" width="16.42578125" style="14" customWidth="1"/>
    <col min="8" max="252" width="8.85546875" style="14"/>
    <col min="253" max="253" width="25.42578125" style="14" customWidth="1"/>
    <col min="254" max="254" width="8.85546875" style="14"/>
    <col min="255" max="255" width="13" style="14" customWidth="1"/>
    <col min="256" max="257" width="11.42578125" style="14" customWidth="1"/>
    <col min="258" max="258" width="17.28515625" style="14" customWidth="1"/>
    <col min="259" max="259" width="11.7109375" style="14" customWidth="1"/>
    <col min="260" max="260" width="14.28515625" style="14" customWidth="1"/>
    <col min="261" max="508" width="8.85546875" style="14"/>
    <col min="509" max="509" width="25.42578125" style="14" customWidth="1"/>
    <col min="510" max="510" width="8.85546875" style="14"/>
    <col min="511" max="511" width="13" style="14" customWidth="1"/>
    <col min="512" max="513" width="11.42578125" style="14" customWidth="1"/>
    <col min="514" max="514" width="17.28515625" style="14" customWidth="1"/>
    <col min="515" max="515" width="11.7109375" style="14" customWidth="1"/>
    <col min="516" max="516" width="14.28515625" style="14" customWidth="1"/>
    <col min="517" max="764" width="8.85546875" style="14"/>
    <col min="765" max="765" width="25.42578125" style="14" customWidth="1"/>
    <col min="766" max="766" width="8.85546875" style="14"/>
    <col min="767" max="767" width="13" style="14" customWidth="1"/>
    <col min="768" max="769" width="11.42578125" style="14" customWidth="1"/>
    <col min="770" max="770" width="17.28515625" style="14" customWidth="1"/>
    <col min="771" max="771" width="11.7109375" style="14" customWidth="1"/>
    <col min="772" max="772" width="14.28515625" style="14" customWidth="1"/>
    <col min="773" max="1020" width="8.85546875" style="14"/>
    <col min="1021" max="1021" width="25.42578125" style="14" customWidth="1"/>
    <col min="1022" max="1022" width="8.85546875" style="14"/>
    <col min="1023" max="1023" width="13" style="14" customWidth="1"/>
    <col min="1024" max="1025" width="11.42578125" style="14" customWidth="1"/>
    <col min="1026" max="1026" width="17.28515625" style="14" customWidth="1"/>
    <col min="1027" max="1027" width="11.7109375" style="14" customWidth="1"/>
    <col min="1028" max="1028" width="14.28515625" style="14" customWidth="1"/>
    <col min="1029" max="1276" width="8.85546875" style="14"/>
    <col min="1277" max="1277" width="25.42578125" style="14" customWidth="1"/>
    <col min="1278" max="1278" width="8.85546875" style="14"/>
    <col min="1279" max="1279" width="13" style="14" customWidth="1"/>
    <col min="1280" max="1281" width="11.42578125" style="14" customWidth="1"/>
    <col min="1282" max="1282" width="17.28515625" style="14" customWidth="1"/>
    <col min="1283" max="1283" width="11.7109375" style="14" customWidth="1"/>
    <col min="1284" max="1284" width="14.28515625" style="14" customWidth="1"/>
    <col min="1285" max="1532" width="8.85546875" style="14"/>
    <col min="1533" max="1533" width="25.42578125" style="14" customWidth="1"/>
    <col min="1534" max="1534" width="8.85546875" style="14"/>
    <col min="1535" max="1535" width="13" style="14" customWidth="1"/>
    <col min="1536" max="1537" width="11.42578125" style="14" customWidth="1"/>
    <col min="1538" max="1538" width="17.28515625" style="14" customWidth="1"/>
    <col min="1539" max="1539" width="11.7109375" style="14" customWidth="1"/>
    <col min="1540" max="1540" width="14.28515625" style="14" customWidth="1"/>
    <col min="1541" max="1788" width="8.85546875" style="14"/>
    <col min="1789" max="1789" width="25.42578125" style="14" customWidth="1"/>
    <col min="1790" max="1790" width="8.85546875" style="14"/>
    <col min="1791" max="1791" width="13" style="14" customWidth="1"/>
    <col min="1792" max="1793" width="11.42578125" style="14" customWidth="1"/>
    <col min="1794" max="1794" width="17.28515625" style="14" customWidth="1"/>
    <col min="1795" max="1795" width="11.7109375" style="14" customWidth="1"/>
    <col min="1796" max="1796" width="14.28515625" style="14" customWidth="1"/>
    <col min="1797" max="2044" width="8.85546875" style="14"/>
    <col min="2045" max="2045" width="25.42578125" style="14" customWidth="1"/>
    <col min="2046" max="2046" width="8.85546875" style="14"/>
    <col min="2047" max="2047" width="13" style="14" customWidth="1"/>
    <col min="2048" max="2049" width="11.42578125" style="14" customWidth="1"/>
    <col min="2050" max="2050" width="17.28515625" style="14" customWidth="1"/>
    <col min="2051" max="2051" width="11.7109375" style="14" customWidth="1"/>
    <col min="2052" max="2052" width="14.28515625" style="14" customWidth="1"/>
    <col min="2053" max="2300" width="8.85546875" style="14"/>
    <col min="2301" max="2301" width="25.42578125" style="14" customWidth="1"/>
    <col min="2302" max="2302" width="8.85546875" style="14"/>
    <col min="2303" max="2303" width="13" style="14" customWidth="1"/>
    <col min="2304" max="2305" width="11.42578125" style="14" customWidth="1"/>
    <col min="2306" max="2306" width="17.28515625" style="14" customWidth="1"/>
    <col min="2307" max="2307" width="11.7109375" style="14" customWidth="1"/>
    <col min="2308" max="2308" width="14.28515625" style="14" customWidth="1"/>
    <col min="2309" max="2556" width="8.85546875" style="14"/>
    <col min="2557" max="2557" width="25.42578125" style="14" customWidth="1"/>
    <col min="2558" max="2558" width="8.85546875" style="14"/>
    <col min="2559" max="2559" width="13" style="14" customWidth="1"/>
    <col min="2560" max="2561" width="11.42578125" style="14" customWidth="1"/>
    <col min="2562" max="2562" width="17.28515625" style="14" customWidth="1"/>
    <col min="2563" max="2563" width="11.7109375" style="14" customWidth="1"/>
    <col min="2564" max="2564" width="14.28515625" style="14" customWidth="1"/>
    <col min="2565" max="2812" width="8.85546875" style="14"/>
    <col min="2813" max="2813" width="25.42578125" style="14" customWidth="1"/>
    <col min="2814" max="2814" width="8.85546875" style="14"/>
    <col min="2815" max="2815" width="13" style="14" customWidth="1"/>
    <col min="2816" max="2817" width="11.42578125" style="14" customWidth="1"/>
    <col min="2818" max="2818" width="17.28515625" style="14" customWidth="1"/>
    <col min="2819" max="2819" width="11.7109375" style="14" customWidth="1"/>
    <col min="2820" max="2820" width="14.28515625" style="14" customWidth="1"/>
    <col min="2821" max="3068" width="8.85546875" style="14"/>
    <col min="3069" max="3069" width="25.42578125" style="14" customWidth="1"/>
    <col min="3070" max="3070" width="8.85546875" style="14"/>
    <col min="3071" max="3071" width="13" style="14" customWidth="1"/>
    <col min="3072" max="3073" width="11.42578125" style="14" customWidth="1"/>
    <col min="3074" max="3074" width="17.28515625" style="14" customWidth="1"/>
    <col min="3075" max="3075" width="11.7109375" style="14" customWidth="1"/>
    <col min="3076" max="3076" width="14.28515625" style="14" customWidth="1"/>
    <col min="3077" max="3324" width="8.85546875" style="14"/>
    <col min="3325" max="3325" width="25.42578125" style="14" customWidth="1"/>
    <col min="3326" max="3326" width="8.85546875" style="14"/>
    <col min="3327" max="3327" width="13" style="14" customWidth="1"/>
    <col min="3328" max="3329" width="11.42578125" style="14" customWidth="1"/>
    <col min="3330" max="3330" width="17.28515625" style="14" customWidth="1"/>
    <col min="3331" max="3331" width="11.7109375" style="14" customWidth="1"/>
    <col min="3332" max="3332" width="14.28515625" style="14" customWidth="1"/>
    <col min="3333" max="3580" width="8.85546875" style="14"/>
    <col min="3581" max="3581" width="25.42578125" style="14" customWidth="1"/>
    <col min="3582" max="3582" width="8.85546875" style="14"/>
    <col min="3583" max="3583" width="13" style="14" customWidth="1"/>
    <col min="3584" max="3585" width="11.42578125" style="14" customWidth="1"/>
    <col min="3586" max="3586" width="17.28515625" style="14" customWidth="1"/>
    <col min="3587" max="3587" width="11.7109375" style="14" customWidth="1"/>
    <col min="3588" max="3588" width="14.28515625" style="14" customWidth="1"/>
    <col min="3589" max="3836" width="8.85546875" style="14"/>
    <col min="3837" max="3837" width="25.42578125" style="14" customWidth="1"/>
    <col min="3838" max="3838" width="8.85546875" style="14"/>
    <col min="3839" max="3839" width="13" style="14" customWidth="1"/>
    <col min="3840" max="3841" width="11.42578125" style="14" customWidth="1"/>
    <col min="3842" max="3842" width="17.28515625" style="14" customWidth="1"/>
    <col min="3843" max="3843" width="11.7109375" style="14" customWidth="1"/>
    <col min="3844" max="3844" width="14.28515625" style="14" customWidth="1"/>
    <col min="3845" max="4092" width="8.85546875" style="14"/>
    <col min="4093" max="4093" width="25.42578125" style="14" customWidth="1"/>
    <col min="4094" max="4094" width="8.85546875" style="14"/>
    <col min="4095" max="4095" width="13" style="14" customWidth="1"/>
    <col min="4096" max="4097" width="11.42578125" style="14" customWidth="1"/>
    <col min="4098" max="4098" width="17.28515625" style="14" customWidth="1"/>
    <col min="4099" max="4099" width="11.7109375" style="14" customWidth="1"/>
    <col min="4100" max="4100" width="14.28515625" style="14" customWidth="1"/>
    <col min="4101" max="4348" width="8.85546875" style="14"/>
    <col min="4349" max="4349" width="25.42578125" style="14" customWidth="1"/>
    <col min="4350" max="4350" width="8.85546875" style="14"/>
    <col min="4351" max="4351" width="13" style="14" customWidth="1"/>
    <col min="4352" max="4353" width="11.42578125" style="14" customWidth="1"/>
    <col min="4354" max="4354" width="17.28515625" style="14" customWidth="1"/>
    <col min="4355" max="4355" width="11.7109375" style="14" customWidth="1"/>
    <col min="4356" max="4356" width="14.28515625" style="14" customWidth="1"/>
    <col min="4357" max="4604" width="8.85546875" style="14"/>
    <col min="4605" max="4605" width="25.42578125" style="14" customWidth="1"/>
    <col min="4606" max="4606" width="8.85546875" style="14"/>
    <col min="4607" max="4607" width="13" style="14" customWidth="1"/>
    <col min="4608" max="4609" width="11.42578125" style="14" customWidth="1"/>
    <col min="4610" max="4610" width="17.28515625" style="14" customWidth="1"/>
    <col min="4611" max="4611" width="11.7109375" style="14" customWidth="1"/>
    <col min="4612" max="4612" width="14.28515625" style="14" customWidth="1"/>
    <col min="4613" max="4860" width="8.85546875" style="14"/>
    <col min="4861" max="4861" width="25.42578125" style="14" customWidth="1"/>
    <col min="4862" max="4862" width="8.85546875" style="14"/>
    <col min="4863" max="4863" width="13" style="14" customWidth="1"/>
    <col min="4864" max="4865" width="11.42578125" style="14" customWidth="1"/>
    <col min="4866" max="4866" width="17.28515625" style="14" customWidth="1"/>
    <col min="4867" max="4867" width="11.7109375" style="14" customWidth="1"/>
    <col min="4868" max="4868" width="14.28515625" style="14" customWidth="1"/>
    <col min="4869" max="5116" width="8.85546875" style="14"/>
    <col min="5117" max="5117" width="25.42578125" style="14" customWidth="1"/>
    <col min="5118" max="5118" width="8.85546875" style="14"/>
    <col min="5119" max="5119" width="13" style="14" customWidth="1"/>
    <col min="5120" max="5121" width="11.42578125" style="14" customWidth="1"/>
    <col min="5122" max="5122" width="17.28515625" style="14" customWidth="1"/>
    <col min="5123" max="5123" width="11.7109375" style="14" customWidth="1"/>
    <col min="5124" max="5124" width="14.28515625" style="14" customWidth="1"/>
    <col min="5125" max="5372" width="8.85546875" style="14"/>
    <col min="5373" max="5373" width="25.42578125" style="14" customWidth="1"/>
    <col min="5374" max="5374" width="8.85546875" style="14"/>
    <col min="5375" max="5375" width="13" style="14" customWidth="1"/>
    <col min="5376" max="5377" width="11.42578125" style="14" customWidth="1"/>
    <col min="5378" max="5378" width="17.28515625" style="14" customWidth="1"/>
    <col min="5379" max="5379" width="11.7109375" style="14" customWidth="1"/>
    <col min="5380" max="5380" width="14.28515625" style="14" customWidth="1"/>
    <col min="5381" max="5628" width="8.85546875" style="14"/>
    <col min="5629" max="5629" width="25.42578125" style="14" customWidth="1"/>
    <col min="5630" max="5630" width="8.85546875" style="14"/>
    <col min="5631" max="5631" width="13" style="14" customWidth="1"/>
    <col min="5632" max="5633" width="11.42578125" style="14" customWidth="1"/>
    <col min="5634" max="5634" width="17.28515625" style="14" customWidth="1"/>
    <col min="5635" max="5635" width="11.7109375" style="14" customWidth="1"/>
    <col min="5636" max="5636" width="14.28515625" style="14" customWidth="1"/>
    <col min="5637" max="5884" width="8.85546875" style="14"/>
    <col min="5885" max="5885" width="25.42578125" style="14" customWidth="1"/>
    <col min="5886" max="5886" width="8.85546875" style="14"/>
    <col min="5887" max="5887" width="13" style="14" customWidth="1"/>
    <col min="5888" max="5889" width="11.42578125" style="14" customWidth="1"/>
    <col min="5890" max="5890" width="17.28515625" style="14" customWidth="1"/>
    <col min="5891" max="5891" width="11.7109375" style="14" customWidth="1"/>
    <col min="5892" max="5892" width="14.28515625" style="14" customWidth="1"/>
    <col min="5893" max="6140" width="8.85546875" style="14"/>
    <col min="6141" max="6141" width="25.42578125" style="14" customWidth="1"/>
    <col min="6142" max="6142" width="8.85546875" style="14"/>
    <col min="6143" max="6143" width="13" style="14" customWidth="1"/>
    <col min="6144" max="6145" width="11.42578125" style="14" customWidth="1"/>
    <col min="6146" max="6146" width="17.28515625" style="14" customWidth="1"/>
    <col min="6147" max="6147" width="11.7109375" style="14" customWidth="1"/>
    <col min="6148" max="6148" width="14.28515625" style="14" customWidth="1"/>
    <col min="6149" max="6396" width="8.85546875" style="14"/>
    <col min="6397" max="6397" width="25.42578125" style="14" customWidth="1"/>
    <col min="6398" max="6398" width="8.85546875" style="14"/>
    <col min="6399" max="6399" width="13" style="14" customWidth="1"/>
    <col min="6400" max="6401" width="11.42578125" style="14" customWidth="1"/>
    <col min="6402" max="6402" width="17.28515625" style="14" customWidth="1"/>
    <col min="6403" max="6403" width="11.7109375" style="14" customWidth="1"/>
    <col min="6404" max="6404" width="14.28515625" style="14" customWidth="1"/>
    <col min="6405" max="6652" width="8.85546875" style="14"/>
    <col min="6653" max="6653" width="25.42578125" style="14" customWidth="1"/>
    <col min="6654" max="6654" width="8.85546875" style="14"/>
    <col min="6655" max="6655" width="13" style="14" customWidth="1"/>
    <col min="6656" max="6657" width="11.42578125" style="14" customWidth="1"/>
    <col min="6658" max="6658" width="17.28515625" style="14" customWidth="1"/>
    <col min="6659" max="6659" width="11.7109375" style="14" customWidth="1"/>
    <col min="6660" max="6660" width="14.28515625" style="14" customWidth="1"/>
    <col min="6661" max="6908" width="8.85546875" style="14"/>
    <col min="6909" max="6909" width="25.42578125" style="14" customWidth="1"/>
    <col min="6910" max="6910" width="8.85546875" style="14"/>
    <col min="6911" max="6911" width="13" style="14" customWidth="1"/>
    <col min="6912" max="6913" width="11.42578125" style="14" customWidth="1"/>
    <col min="6914" max="6914" width="17.28515625" style="14" customWidth="1"/>
    <col min="6915" max="6915" width="11.7109375" style="14" customWidth="1"/>
    <col min="6916" max="6916" width="14.28515625" style="14" customWidth="1"/>
    <col min="6917" max="7164" width="8.85546875" style="14"/>
    <col min="7165" max="7165" width="25.42578125" style="14" customWidth="1"/>
    <col min="7166" max="7166" width="8.85546875" style="14"/>
    <col min="7167" max="7167" width="13" style="14" customWidth="1"/>
    <col min="7168" max="7169" width="11.42578125" style="14" customWidth="1"/>
    <col min="7170" max="7170" width="17.28515625" style="14" customWidth="1"/>
    <col min="7171" max="7171" width="11.7109375" style="14" customWidth="1"/>
    <col min="7172" max="7172" width="14.28515625" style="14" customWidth="1"/>
    <col min="7173" max="7420" width="8.85546875" style="14"/>
    <col min="7421" max="7421" width="25.42578125" style="14" customWidth="1"/>
    <col min="7422" max="7422" width="8.85546875" style="14"/>
    <col min="7423" max="7423" width="13" style="14" customWidth="1"/>
    <col min="7424" max="7425" width="11.42578125" style="14" customWidth="1"/>
    <col min="7426" max="7426" width="17.28515625" style="14" customWidth="1"/>
    <col min="7427" max="7427" width="11.7109375" style="14" customWidth="1"/>
    <col min="7428" max="7428" width="14.28515625" style="14" customWidth="1"/>
    <col min="7429" max="7676" width="8.85546875" style="14"/>
    <col min="7677" max="7677" width="25.42578125" style="14" customWidth="1"/>
    <col min="7678" max="7678" width="8.85546875" style="14"/>
    <col min="7679" max="7679" width="13" style="14" customWidth="1"/>
    <col min="7680" max="7681" width="11.42578125" style="14" customWidth="1"/>
    <col min="7682" max="7682" width="17.28515625" style="14" customWidth="1"/>
    <col min="7683" max="7683" width="11.7109375" style="14" customWidth="1"/>
    <col min="7684" max="7684" width="14.28515625" style="14" customWidth="1"/>
    <col min="7685" max="7932" width="8.85546875" style="14"/>
    <col min="7933" max="7933" width="25.42578125" style="14" customWidth="1"/>
    <col min="7934" max="7934" width="8.85546875" style="14"/>
    <col min="7935" max="7935" width="13" style="14" customWidth="1"/>
    <col min="7936" max="7937" width="11.42578125" style="14" customWidth="1"/>
    <col min="7938" max="7938" width="17.28515625" style="14" customWidth="1"/>
    <col min="7939" max="7939" width="11.7109375" style="14" customWidth="1"/>
    <col min="7940" max="7940" width="14.28515625" style="14" customWidth="1"/>
    <col min="7941" max="8188" width="8.85546875" style="14"/>
    <col min="8189" max="8189" width="25.42578125" style="14" customWidth="1"/>
    <col min="8190" max="8190" width="8.85546875" style="14"/>
    <col min="8191" max="8191" width="13" style="14" customWidth="1"/>
    <col min="8192" max="8193" width="11.42578125" style="14" customWidth="1"/>
    <col min="8194" max="8194" width="17.28515625" style="14" customWidth="1"/>
    <col min="8195" max="8195" width="11.7109375" style="14" customWidth="1"/>
    <col min="8196" max="8196" width="14.28515625" style="14" customWidth="1"/>
    <col min="8197" max="8444" width="8.85546875" style="14"/>
    <col min="8445" max="8445" width="25.42578125" style="14" customWidth="1"/>
    <col min="8446" max="8446" width="8.85546875" style="14"/>
    <col min="8447" max="8447" width="13" style="14" customWidth="1"/>
    <col min="8448" max="8449" width="11.42578125" style="14" customWidth="1"/>
    <col min="8450" max="8450" width="17.28515625" style="14" customWidth="1"/>
    <col min="8451" max="8451" width="11.7109375" style="14" customWidth="1"/>
    <col min="8452" max="8452" width="14.28515625" style="14" customWidth="1"/>
    <col min="8453" max="8700" width="8.85546875" style="14"/>
    <col min="8701" max="8701" width="25.42578125" style="14" customWidth="1"/>
    <col min="8702" max="8702" width="8.85546875" style="14"/>
    <col min="8703" max="8703" width="13" style="14" customWidth="1"/>
    <col min="8704" max="8705" width="11.42578125" style="14" customWidth="1"/>
    <col min="8706" max="8706" width="17.28515625" style="14" customWidth="1"/>
    <col min="8707" max="8707" width="11.7109375" style="14" customWidth="1"/>
    <col min="8708" max="8708" width="14.28515625" style="14" customWidth="1"/>
    <col min="8709" max="8956" width="8.85546875" style="14"/>
    <col min="8957" max="8957" width="25.42578125" style="14" customWidth="1"/>
    <col min="8958" max="8958" width="8.85546875" style="14"/>
    <col min="8959" max="8959" width="13" style="14" customWidth="1"/>
    <col min="8960" max="8961" width="11.42578125" style="14" customWidth="1"/>
    <col min="8962" max="8962" width="17.28515625" style="14" customWidth="1"/>
    <col min="8963" max="8963" width="11.7109375" style="14" customWidth="1"/>
    <col min="8964" max="8964" width="14.28515625" style="14" customWidth="1"/>
    <col min="8965" max="9212" width="8.85546875" style="14"/>
    <col min="9213" max="9213" width="25.42578125" style="14" customWidth="1"/>
    <col min="9214" max="9214" width="8.85546875" style="14"/>
    <col min="9215" max="9215" width="13" style="14" customWidth="1"/>
    <col min="9216" max="9217" width="11.42578125" style="14" customWidth="1"/>
    <col min="9218" max="9218" width="17.28515625" style="14" customWidth="1"/>
    <col min="9219" max="9219" width="11.7109375" style="14" customWidth="1"/>
    <col min="9220" max="9220" width="14.28515625" style="14" customWidth="1"/>
    <col min="9221" max="9468" width="8.85546875" style="14"/>
    <col min="9469" max="9469" width="25.42578125" style="14" customWidth="1"/>
    <col min="9470" max="9470" width="8.85546875" style="14"/>
    <col min="9471" max="9471" width="13" style="14" customWidth="1"/>
    <col min="9472" max="9473" width="11.42578125" style="14" customWidth="1"/>
    <col min="9474" max="9474" width="17.28515625" style="14" customWidth="1"/>
    <col min="9475" max="9475" width="11.7109375" style="14" customWidth="1"/>
    <col min="9476" max="9476" width="14.28515625" style="14" customWidth="1"/>
    <col min="9477" max="9724" width="8.85546875" style="14"/>
    <col min="9725" max="9725" width="25.42578125" style="14" customWidth="1"/>
    <col min="9726" max="9726" width="8.85546875" style="14"/>
    <col min="9727" max="9727" width="13" style="14" customWidth="1"/>
    <col min="9728" max="9729" width="11.42578125" style="14" customWidth="1"/>
    <col min="9730" max="9730" width="17.28515625" style="14" customWidth="1"/>
    <col min="9731" max="9731" width="11.7109375" style="14" customWidth="1"/>
    <col min="9732" max="9732" width="14.28515625" style="14" customWidth="1"/>
    <col min="9733" max="9980" width="8.85546875" style="14"/>
    <col min="9981" max="9981" width="25.42578125" style="14" customWidth="1"/>
    <col min="9982" max="9982" width="8.85546875" style="14"/>
    <col min="9983" max="9983" width="13" style="14" customWidth="1"/>
    <col min="9984" max="9985" width="11.42578125" style="14" customWidth="1"/>
    <col min="9986" max="9986" width="17.28515625" style="14" customWidth="1"/>
    <col min="9987" max="9987" width="11.7109375" style="14" customWidth="1"/>
    <col min="9988" max="9988" width="14.28515625" style="14" customWidth="1"/>
    <col min="9989" max="10236" width="8.85546875" style="14"/>
    <col min="10237" max="10237" width="25.42578125" style="14" customWidth="1"/>
    <col min="10238" max="10238" width="8.85546875" style="14"/>
    <col min="10239" max="10239" width="13" style="14" customWidth="1"/>
    <col min="10240" max="10241" width="11.42578125" style="14" customWidth="1"/>
    <col min="10242" max="10242" width="17.28515625" style="14" customWidth="1"/>
    <col min="10243" max="10243" width="11.7109375" style="14" customWidth="1"/>
    <col min="10244" max="10244" width="14.28515625" style="14" customWidth="1"/>
    <col min="10245" max="10492" width="8.85546875" style="14"/>
    <col min="10493" max="10493" width="25.42578125" style="14" customWidth="1"/>
    <col min="10494" max="10494" width="8.85546875" style="14"/>
    <col min="10495" max="10495" width="13" style="14" customWidth="1"/>
    <col min="10496" max="10497" width="11.42578125" style="14" customWidth="1"/>
    <col min="10498" max="10498" width="17.28515625" style="14" customWidth="1"/>
    <col min="10499" max="10499" width="11.7109375" style="14" customWidth="1"/>
    <col min="10500" max="10500" width="14.28515625" style="14" customWidth="1"/>
    <col min="10501" max="10748" width="8.85546875" style="14"/>
    <col min="10749" max="10749" width="25.42578125" style="14" customWidth="1"/>
    <col min="10750" max="10750" width="8.85546875" style="14"/>
    <col min="10751" max="10751" width="13" style="14" customWidth="1"/>
    <col min="10752" max="10753" width="11.42578125" style="14" customWidth="1"/>
    <col min="10754" max="10754" width="17.28515625" style="14" customWidth="1"/>
    <col min="10755" max="10755" width="11.7109375" style="14" customWidth="1"/>
    <col min="10756" max="10756" width="14.28515625" style="14" customWidth="1"/>
    <col min="10757" max="11004" width="8.85546875" style="14"/>
    <col min="11005" max="11005" width="25.42578125" style="14" customWidth="1"/>
    <col min="11006" max="11006" width="8.85546875" style="14"/>
    <col min="11007" max="11007" width="13" style="14" customWidth="1"/>
    <col min="11008" max="11009" width="11.42578125" style="14" customWidth="1"/>
    <col min="11010" max="11010" width="17.28515625" style="14" customWidth="1"/>
    <col min="11011" max="11011" width="11.7109375" style="14" customWidth="1"/>
    <col min="11012" max="11012" width="14.28515625" style="14" customWidth="1"/>
    <col min="11013" max="11260" width="8.85546875" style="14"/>
    <col min="11261" max="11261" width="25.42578125" style="14" customWidth="1"/>
    <col min="11262" max="11262" width="8.85546875" style="14"/>
    <col min="11263" max="11263" width="13" style="14" customWidth="1"/>
    <col min="11264" max="11265" width="11.42578125" style="14" customWidth="1"/>
    <col min="11266" max="11266" width="17.28515625" style="14" customWidth="1"/>
    <col min="11267" max="11267" width="11.7109375" style="14" customWidth="1"/>
    <col min="11268" max="11268" width="14.28515625" style="14" customWidth="1"/>
    <col min="11269" max="11516" width="8.85546875" style="14"/>
    <col min="11517" max="11517" width="25.42578125" style="14" customWidth="1"/>
    <col min="11518" max="11518" width="8.85546875" style="14"/>
    <col min="11519" max="11519" width="13" style="14" customWidth="1"/>
    <col min="11520" max="11521" width="11.42578125" style="14" customWidth="1"/>
    <col min="11522" max="11522" width="17.28515625" style="14" customWidth="1"/>
    <col min="11523" max="11523" width="11.7109375" style="14" customWidth="1"/>
    <col min="11524" max="11524" width="14.28515625" style="14" customWidth="1"/>
    <col min="11525" max="11772" width="8.85546875" style="14"/>
    <col min="11773" max="11773" width="25.42578125" style="14" customWidth="1"/>
    <col min="11774" max="11774" width="8.85546875" style="14"/>
    <col min="11775" max="11775" width="13" style="14" customWidth="1"/>
    <col min="11776" max="11777" width="11.42578125" style="14" customWidth="1"/>
    <col min="11778" max="11778" width="17.28515625" style="14" customWidth="1"/>
    <col min="11779" max="11779" width="11.7109375" style="14" customWidth="1"/>
    <col min="11780" max="11780" width="14.28515625" style="14" customWidth="1"/>
    <col min="11781" max="12028" width="8.85546875" style="14"/>
    <col min="12029" max="12029" width="25.42578125" style="14" customWidth="1"/>
    <col min="12030" max="12030" width="8.85546875" style="14"/>
    <col min="12031" max="12031" width="13" style="14" customWidth="1"/>
    <col min="12032" max="12033" width="11.42578125" style="14" customWidth="1"/>
    <col min="12034" max="12034" width="17.28515625" style="14" customWidth="1"/>
    <col min="12035" max="12035" width="11.7109375" style="14" customWidth="1"/>
    <col min="12036" max="12036" width="14.28515625" style="14" customWidth="1"/>
    <col min="12037" max="12284" width="8.85546875" style="14"/>
    <col min="12285" max="12285" width="25.42578125" style="14" customWidth="1"/>
    <col min="12286" max="12286" width="8.85546875" style="14"/>
    <col min="12287" max="12287" width="13" style="14" customWidth="1"/>
    <col min="12288" max="12289" width="11.42578125" style="14" customWidth="1"/>
    <col min="12290" max="12290" width="17.28515625" style="14" customWidth="1"/>
    <col min="12291" max="12291" width="11.7109375" style="14" customWidth="1"/>
    <col min="12292" max="12292" width="14.28515625" style="14" customWidth="1"/>
    <col min="12293" max="12540" width="8.85546875" style="14"/>
    <col min="12541" max="12541" width="25.42578125" style="14" customWidth="1"/>
    <col min="12542" max="12542" width="8.85546875" style="14"/>
    <col min="12543" max="12543" width="13" style="14" customWidth="1"/>
    <col min="12544" max="12545" width="11.42578125" style="14" customWidth="1"/>
    <col min="12546" max="12546" width="17.28515625" style="14" customWidth="1"/>
    <col min="12547" max="12547" width="11.7109375" style="14" customWidth="1"/>
    <col min="12548" max="12548" width="14.28515625" style="14" customWidth="1"/>
    <col min="12549" max="12796" width="8.85546875" style="14"/>
    <col min="12797" max="12797" width="25.42578125" style="14" customWidth="1"/>
    <col min="12798" max="12798" width="8.85546875" style="14"/>
    <col min="12799" max="12799" width="13" style="14" customWidth="1"/>
    <col min="12800" max="12801" width="11.42578125" style="14" customWidth="1"/>
    <col min="12802" max="12802" width="17.28515625" style="14" customWidth="1"/>
    <col min="12803" max="12803" width="11.7109375" style="14" customWidth="1"/>
    <col min="12804" max="12804" width="14.28515625" style="14" customWidth="1"/>
    <col min="12805" max="13052" width="8.85546875" style="14"/>
    <col min="13053" max="13053" width="25.42578125" style="14" customWidth="1"/>
    <col min="13054" max="13054" width="8.85546875" style="14"/>
    <col min="13055" max="13055" width="13" style="14" customWidth="1"/>
    <col min="13056" max="13057" width="11.42578125" style="14" customWidth="1"/>
    <col min="13058" max="13058" width="17.28515625" style="14" customWidth="1"/>
    <col min="13059" max="13059" width="11.7109375" style="14" customWidth="1"/>
    <col min="13060" max="13060" width="14.28515625" style="14" customWidth="1"/>
    <col min="13061" max="13308" width="8.85546875" style="14"/>
    <col min="13309" max="13309" width="25.42578125" style="14" customWidth="1"/>
    <col min="13310" max="13310" width="8.85546875" style="14"/>
    <col min="13311" max="13311" width="13" style="14" customWidth="1"/>
    <col min="13312" max="13313" width="11.42578125" style="14" customWidth="1"/>
    <col min="13314" max="13314" width="17.28515625" style="14" customWidth="1"/>
    <col min="13315" max="13315" width="11.7109375" style="14" customWidth="1"/>
    <col min="13316" max="13316" width="14.28515625" style="14" customWidth="1"/>
    <col min="13317" max="13564" width="8.85546875" style="14"/>
    <col min="13565" max="13565" width="25.42578125" style="14" customWidth="1"/>
    <col min="13566" max="13566" width="8.85546875" style="14"/>
    <col min="13567" max="13567" width="13" style="14" customWidth="1"/>
    <col min="13568" max="13569" width="11.42578125" style="14" customWidth="1"/>
    <col min="13570" max="13570" width="17.28515625" style="14" customWidth="1"/>
    <col min="13571" max="13571" width="11.7109375" style="14" customWidth="1"/>
    <col min="13572" max="13572" width="14.28515625" style="14" customWidth="1"/>
    <col min="13573" max="13820" width="8.85546875" style="14"/>
    <col min="13821" max="13821" width="25.42578125" style="14" customWidth="1"/>
    <col min="13822" max="13822" width="8.85546875" style="14"/>
    <col min="13823" max="13823" width="13" style="14" customWidth="1"/>
    <col min="13824" max="13825" width="11.42578125" style="14" customWidth="1"/>
    <col min="13826" max="13826" width="17.28515625" style="14" customWidth="1"/>
    <col min="13827" max="13827" width="11.7109375" style="14" customWidth="1"/>
    <col min="13828" max="13828" width="14.28515625" style="14" customWidth="1"/>
    <col min="13829" max="14076" width="8.85546875" style="14"/>
    <col min="14077" max="14077" width="25.42578125" style="14" customWidth="1"/>
    <col min="14078" max="14078" width="8.85546875" style="14"/>
    <col min="14079" max="14079" width="13" style="14" customWidth="1"/>
    <col min="14080" max="14081" width="11.42578125" style="14" customWidth="1"/>
    <col min="14082" max="14082" width="17.28515625" style="14" customWidth="1"/>
    <col min="14083" max="14083" width="11.7109375" style="14" customWidth="1"/>
    <col min="14084" max="14084" width="14.28515625" style="14" customWidth="1"/>
    <col min="14085" max="14332" width="8.85546875" style="14"/>
    <col min="14333" max="14333" width="25.42578125" style="14" customWidth="1"/>
    <col min="14334" max="14334" width="8.85546875" style="14"/>
    <col min="14335" max="14335" width="13" style="14" customWidth="1"/>
    <col min="14336" max="14337" width="11.42578125" style="14" customWidth="1"/>
    <col min="14338" max="14338" width="17.28515625" style="14" customWidth="1"/>
    <col min="14339" max="14339" width="11.7109375" style="14" customWidth="1"/>
    <col min="14340" max="14340" width="14.28515625" style="14" customWidth="1"/>
    <col min="14341" max="14588" width="8.85546875" style="14"/>
    <col min="14589" max="14589" width="25.42578125" style="14" customWidth="1"/>
    <col min="14590" max="14590" width="8.85546875" style="14"/>
    <col min="14591" max="14591" width="13" style="14" customWidth="1"/>
    <col min="14592" max="14593" width="11.42578125" style="14" customWidth="1"/>
    <col min="14594" max="14594" width="17.28515625" style="14" customWidth="1"/>
    <col min="14595" max="14595" width="11.7109375" style="14" customWidth="1"/>
    <col min="14596" max="14596" width="14.28515625" style="14" customWidth="1"/>
    <col min="14597" max="14844" width="8.85546875" style="14"/>
    <col min="14845" max="14845" width="25.42578125" style="14" customWidth="1"/>
    <col min="14846" max="14846" width="8.85546875" style="14"/>
    <col min="14847" max="14847" width="13" style="14" customWidth="1"/>
    <col min="14848" max="14849" width="11.42578125" style="14" customWidth="1"/>
    <col min="14850" max="14850" width="17.28515625" style="14" customWidth="1"/>
    <col min="14851" max="14851" width="11.7109375" style="14" customWidth="1"/>
    <col min="14852" max="14852" width="14.28515625" style="14" customWidth="1"/>
    <col min="14853" max="15100" width="8.85546875" style="14"/>
    <col min="15101" max="15101" width="25.42578125" style="14" customWidth="1"/>
    <col min="15102" max="15102" width="8.85546875" style="14"/>
    <col min="15103" max="15103" width="13" style="14" customWidth="1"/>
    <col min="15104" max="15105" width="11.42578125" style="14" customWidth="1"/>
    <col min="15106" max="15106" width="17.28515625" style="14" customWidth="1"/>
    <col min="15107" max="15107" width="11.7109375" style="14" customWidth="1"/>
    <col min="15108" max="15108" width="14.28515625" style="14" customWidth="1"/>
    <col min="15109" max="15356" width="8.85546875" style="14"/>
    <col min="15357" max="15357" width="25.42578125" style="14" customWidth="1"/>
    <col min="15358" max="15358" width="8.85546875" style="14"/>
    <col min="15359" max="15359" width="13" style="14" customWidth="1"/>
    <col min="15360" max="15361" width="11.42578125" style="14" customWidth="1"/>
    <col min="15362" max="15362" width="17.28515625" style="14" customWidth="1"/>
    <col min="15363" max="15363" width="11.7109375" style="14" customWidth="1"/>
    <col min="15364" max="15364" width="14.28515625" style="14" customWidth="1"/>
    <col min="15365" max="15612" width="8.85546875" style="14"/>
    <col min="15613" max="15613" width="25.42578125" style="14" customWidth="1"/>
    <col min="15614" max="15614" width="8.85546875" style="14"/>
    <col min="15615" max="15615" width="13" style="14" customWidth="1"/>
    <col min="15616" max="15617" width="11.42578125" style="14" customWidth="1"/>
    <col min="15618" max="15618" width="17.28515625" style="14" customWidth="1"/>
    <col min="15619" max="15619" width="11.7109375" style="14" customWidth="1"/>
    <col min="15620" max="15620" width="14.28515625" style="14" customWidth="1"/>
    <col min="15621" max="15868" width="8.85546875" style="14"/>
    <col min="15869" max="15869" width="25.42578125" style="14" customWidth="1"/>
    <col min="15870" max="15870" width="8.85546875" style="14"/>
    <col min="15871" max="15871" width="13" style="14" customWidth="1"/>
    <col min="15872" max="15873" width="11.42578125" style="14" customWidth="1"/>
    <col min="15874" max="15874" width="17.28515625" style="14" customWidth="1"/>
    <col min="15875" max="15875" width="11.7109375" style="14" customWidth="1"/>
    <col min="15876" max="15876" width="14.28515625" style="14" customWidth="1"/>
    <col min="15877" max="16124" width="8.85546875" style="14"/>
    <col min="16125" max="16125" width="25.42578125" style="14" customWidth="1"/>
    <col min="16126" max="16126" width="8.85546875" style="14"/>
    <col min="16127" max="16127" width="13" style="14" customWidth="1"/>
    <col min="16128" max="16129" width="11.42578125" style="14" customWidth="1"/>
    <col min="16130" max="16130" width="17.28515625" style="14" customWidth="1"/>
    <col min="16131" max="16131" width="11.7109375" style="14" customWidth="1"/>
    <col min="16132" max="16132" width="14.28515625" style="14" customWidth="1"/>
    <col min="16133" max="16384" width="8.85546875" style="14"/>
  </cols>
  <sheetData>
    <row r="1" spans="1:7" x14ac:dyDescent="0.2">
      <c r="A1" s="410" t="s">
        <v>417</v>
      </c>
      <c r="B1" s="15"/>
    </row>
    <row r="2" spans="1:7" ht="94.15" customHeight="1" x14ac:dyDescent="0.2">
      <c r="A2" s="1141" t="s">
        <v>132</v>
      </c>
      <c r="B2" s="1021" t="str">
        <f>'Абон. плата охраны по КТС'!B3</f>
        <v xml:space="preserve">Нормативная численность обучающихся </v>
      </c>
      <c r="C2" s="1143" t="s">
        <v>378</v>
      </c>
      <c r="D2" s="1026"/>
      <c r="E2" s="1026"/>
      <c r="F2" s="1027"/>
      <c r="G2" s="1141" t="s">
        <v>382</v>
      </c>
    </row>
    <row r="3" spans="1:7" ht="45" customHeight="1" x14ac:dyDescent="0.2">
      <c r="A3" s="1142"/>
      <c r="B3" s="1023"/>
      <c r="C3" s="403" t="s">
        <v>332</v>
      </c>
      <c r="D3" s="377" t="s">
        <v>70</v>
      </c>
      <c r="E3" s="394" t="s">
        <v>322</v>
      </c>
      <c r="F3" s="376" t="s">
        <v>69</v>
      </c>
      <c r="G3" s="1142"/>
    </row>
    <row r="4" spans="1:7" ht="15.75" customHeight="1" x14ac:dyDescent="0.2">
      <c r="A4" s="151" t="str">
        <f>'Заправка огнетушителей'!A5</f>
        <v>МАДОУ ЦРР-детский сад № 2</v>
      </c>
      <c r="B4" s="532">
        <f>'Заправка огнетушителей'!B5</f>
        <v>506</v>
      </c>
      <c r="C4" s="291">
        <v>1</v>
      </c>
      <c r="D4" s="217">
        <v>10310</v>
      </c>
      <c r="E4" s="506">
        <f>ROUND(C4/B4,3)</f>
        <v>2E-3</v>
      </c>
      <c r="F4" s="291">
        <f>C4*D4</f>
        <v>10310</v>
      </c>
      <c r="G4" s="217">
        <f>F4</f>
        <v>10310</v>
      </c>
    </row>
    <row r="5" spans="1:7" ht="15.75" customHeight="1" x14ac:dyDescent="0.2">
      <c r="A5" s="151" t="str">
        <f>'Заправка огнетушителей'!A6</f>
        <v>МАДОУ ЦРР-детский сад № 11</v>
      </c>
      <c r="B5" s="532">
        <f>'Заправка огнетушителей'!B6</f>
        <v>559</v>
      </c>
      <c r="C5" s="291">
        <v>1</v>
      </c>
      <c r="D5" s="291">
        <v>10310</v>
      </c>
      <c r="E5" s="506">
        <f t="shared" ref="E5:E12" si="0">ROUND(C5/B5,3)</f>
        <v>2E-3</v>
      </c>
      <c r="F5" s="291">
        <f t="shared" ref="F5:F11" si="1">C5*D5</f>
        <v>10310</v>
      </c>
      <c r="G5" s="291">
        <f t="shared" ref="G5:G12" si="2">F5</f>
        <v>10310</v>
      </c>
    </row>
    <row r="6" spans="1:7" ht="15.75" customHeight="1" x14ac:dyDescent="0.2">
      <c r="A6" s="151" t="str">
        <f>'Заправка огнетушителей'!A7</f>
        <v>МАДОУ ЦРР-детский сад № 13</v>
      </c>
      <c r="B6" s="532">
        <f>'Заправка огнетушителей'!B7</f>
        <v>633</v>
      </c>
      <c r="C6" s="291">
        <v>1</v>
      </c>
      <c r="D6" s="291">
        <v>10310</v>
      </c>
      <c r="E6" s="506">
        <f t="shared" si="0"/>
        <v>2E-3</v>
      </c>
      <c r="F6" s="291">
        <f t="shared" si="1"/>
        <v>10310</v>
      </c>
      <c r="G6" s="291">
        <f t="shared" si="2"/>
        <v>10310</v>
      </c>
    </row>
    <row r="7" spans="1:7" ht="15.75" customHeight="1" x14ac:dyDescent="0.2">
      <c r="A7" s="151" t="str">
        <f>'Заправка огнетушителей'!A8</f>
        <v>МАОУ СОШ № 1 структурное подразделение</v>
      </c>
      <c r="B7" s="532">
        <f>'Заправка огнетушителей'!B8</f>
        <v>381</v>
      </c>
      <c r="C7" s="291">
        <v>0.5</v>
      </c>
      <c r="D7" s="291">
        <v>10310</v>
      </c>
      <c r="E7" s="506">
        <f t="shared" si="0"/>
        <v>1E-3</v>
      </c>
      <c r="F7" s="291">
        <f>C7*D7</f>
        <v>5155</v>
      </c>
      <c r="G7" s="291">
        <f t="shared" si="2"/>
        <v>5155</v>
      </c>
    </row>
    <row r="8" spans="1:7" ht="29.25" customHeight="1" x14ac:dyDescent="0.2">
      <c r="A8" s="151" t="str">
        <f>'Заправка огнетушителей'!A9</f>
        <v>МАОУ СОШ № 2 им.М.И.Грибушина структурное подразделение</v>
      </c>
      <c r="B8" s="532">
        <f>'Заправка огнетушителей'!B9</f>
        <v>288</v>
      </c>
      <c r="C8" s="291">
        <v>0.5</v>
      </c>
      <c r="D8" s="291">
        <v>10310</v>
      </c>
      <c r="E8" s="506">
        <f t="shared" si="0"/>
        <v>2E-3</v>
      </c>
      <c r="F8" s="291">
        <f t="shared" si="1"/>
        <v>5155</v>
      </c>
      <c r="G8" s="291">
        <f t="shared" si="2"/>
        <v>5155</v>
      </c>
    </row>
    <row r="9" spans="1:7" ht="15.75" customHeight="1" x14ac:dyDescent="0.2">
      <c r="A9" s="151" t="str">
        <f>'Заправка огнетушителей'!A10</f>
        <v>МАОУ СОШ № 10 структурное подразделение</v>
      </c>
      <c r="B9" s="532">
        <f>'Заправка огнетушителей'!B10</f>
        <v>262</v>
      </c>
      <c r="C9" s="291">
        <v>0.5</v>
      </c>
      <c r="D9" s="291">
        <v>10310</v>
      </c>
      <c r="E9" s="506">
        <f t="shared" si="0"/>
        <v>2E-3</v>
      </c>
      <c r="F9" s="291">
        <f t="shared" si="1"/>
        <v>5155</v>
      </c>
      <c r="G9" s="291">
        <f t="shared" si="2"/>
        <v>5155</v>
      </c>
    </row>
    <row r="10" spans="1:7" ht="15.75" customHeight="1" x14ac:dyDescent="0.2">
      <c r="A10" s="151" t="str">
        <f>'Заправка огнетушителей'!A11</f>
        <v>МАОУ СОШ № 13 структурное подразделение</v>
      </c>
      <c r="B10" s="532">
        <f>'Заправка огнетушителей'!B11</f>
        <v>224</v>
      </c>
      <c r="C10" s="291">
        <v>0.5</v>
      </c>
      <c r="D10" s="291">
        <v>10310</v>
      </c>
      <c r="E10" s="506">
        <f t="shared" si="0"/>
        <v>2E-3</v>
      </c>
      <c r="F10" s="291">
        <f t="shared" si="1"/>
        <v>5155</v>
      </c>
      <c r="G10" s="291">
        <f t="shared" si="2"/>
        <v>5155</v>
      </c>
    </row>
    <row r="11" spans="1:7" ht="15.75" customHeight="1" x14ac:dyDescent="0.2">
      <c r="A11" s="151" t="str">
        <f>'Заправка огнетушителей'!A12</f>
        <v>Гимназия № 16 структурное подразделение</v>
      </c>
      <c r="B11" s="532">
        <f>'Заправка огнетушителей'!B12</f>
        <v>456</v>
      </c>
      <c r="C11" s="291">
        <v>0.5</v>
      </c>
      <c r="D11" s="291">
        <v>10310</v>
      </c>
      <c r="E11" s="506">
        <f t="shared" si="0"/>
        <v>1E-3</v>
      </c>
      <c r="F11" s="291">
        <f t="shared" si="1"/>
        <v>5155</v>
      </c>
      <c r="G11" s="291">
        <f t="shared" si="2"/>
        <v>5155</v>
      </c>
    </row>
    <row r="12" spans="1:7" ht="28.5" customHeight="1" thickBot="1" x14ac:dyDescent="0.25">
      <c r="A12" s="151" t="str">
        <f>'Заправка огнетушителей'!A13</f>
        <v>МАОУ ООШ № 17 с кадетскими классами структурное подразделение</v>
      </c>
      <c r="B12" s="532">
        <f>'Заправка огнетушителей'!B13</f>
        <v>189</v>
      </c>
      <c r="C12" s="291">
        <v>0.5</v>
      </c>
      <c r="D12" s="291">
        <v>10310</v>
      </c>
      <c r="E12" s="506">
        <f t="shared" si="0"/>
        <v>3.0000000000000001E-3</v>
      </c>
      <c r="F12" s="291">
        <f>C12*D12</f>
        <v>5155</v>
      </c>
      <c r="G12" s="291">
        <f t="shared" si="2"/>
        <v>5155</v>
      </c>
    </row>
    <row r="13" spans="1:7" s="34" customFormat="1" ht="13.5" thickBot="1" x14ac:dyDescent="0.25">
      <c r="A13" s="301" t="s">
        <v>9</v>
      </c>
      <c r="B13" s="296">
        <f>SUM(B4:B12)</f>
        <v>3498</v>
      </c>
      <c r="C13" s="302"/>
      <c r="D13" s="302">
        <f>ROUND(AVERAGE(D4:D12),2)</f>
        <v>10310</v>
      </c>
      <c r="E13" s="505">
        <f>ROUND(MEDIAN(E4:E12),4)</f>
        <v>2E-3</v>
      </c>
      <c r="F13" s="302"/>
      <c r="G13" s="302">
        <f>SUM(G4:G12)</f>
        <v>61860</v>
      </c>
    </row>
    <row r="14" spans="1:7" x14ac:dyDescent="0.2">
      <c r="E14" s="138" t="s">
        <v>240</v>
      </c>
      <c r="F14" s="140"/>
      <c r="G14" s="141">
        <f>ROUND((D13*E13),2)</f>
        <v>20.62</v>
      </c>
    </row>
  </sheetData>
  <mergeCells count="4">
    <mergeCell ref="G2:G3"/>
    <mergeCell ref="C2:F2"/>
    <mergeCell ref="A2:A3"/>
    <mergeCell ref="B2:B3"/>
  </mergeCells>
  <pageMargins left="0.75" right="0.75" top="1" bottom="1" header="0.5" footer="0.5"/>
  <pageSetup paperSize="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pageSetUpPr fitToPage="1"/>
  </sheetPr>
  <dimension ref="A1:AA32"/>
  <sheetViews>
    <sheetView zoomScale="110" zoomScaleNormal="110" workbookViewId="0">
      <pane xSplit="1" ySplit="3" topLeftCell="B4" activePane="bottomRight" state="frozen"/>
      <selection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ColWidth="8.85546875" defaultRowHeight="12.75" x14ac:dyDescent="0.2"/>
  <cols>
    <col min="1" max="1" width="43" style="18" customWidth="1"/>
    <col min="2" max="2" width="12.7109375" style="18" customWidth="1"/>
    <col min="3" max="3" width="12.7109375" style="18" hidden="1" customWidth="1"/>
    <col min="4" max="5" width="13.7109375" style="18" customWidth="1"/>
    <col min="6" max="6" width="17.7109375" style="18" customWidth="1"/>
    <col min="7" max="7" width="14.7109375" style="18" customWidth="1"/>
    <col min="8" max="8" width="15.28515625" style="18" customWidth="1"/>
    <col min="9" max="9" width="11.5703125" style="18" customWidth="1"/>
    <col min="10" max="11" width="11.5703125" style="793" customWidth="1"/>
    <col min="12" max="12" width="12.42578125" style="18" customWidth="1"/>
    <col min="13" max="13" width="11.5703125" style="18" customWidth="1"/>
    <col min="14" max="14" width="14" style="18" customWidth="1"/>
    <col min="15" max="16" width="11.85546875" style="18" customWidth="1"/>
    <col min="17" max="17" width="8.85546875" style="18"/>
    <col min="18" max="18" width="8.85546875" style="805"/>
    <col min="19" max="265" width="8.85546875" style="18"/>
    <col min="266" max="266" width="21.42578125" style="18" customWidth="1"/>
    <col min="267" max="267" width="17.7109375" style="18" customWidth="1"/>
    <col min="268" max="269" width="15.28515625" style="18" customWidth="1"/>
    <col min="270" max="521" width="8.85546875" style="18"/>
    <col min="522" max="522" width="21.42578125" style="18" customWidth="1"/>
    <col min="523" max="523" width="17.7109375" style="18" customWidth="1"/>
    <col min="524" max="525" width="15.28515625" style="18" customWidth="1"/>
    <col min="526" max="777" width="8.85546875" style="18"/>
    <col min="778" max="778" width="21.42578125" style="18" customWidth="1"/>
    <col min="779" max="779" width="17.7109375" style="18" customWidth="1"/>
    <col min="780" max="781" width="15.28515625" style="18" customWidth="1"/>
    <col min="782" max="1033" width="8.85546875" style="18"/>
    <col min="1034" max="1034" width="21.42578125" style="18" customWidth="1"/>
    <col min="1035" max="1035" width="17.7109375" style="18" customWidth="1"/>
    <col min="1036" max="1037" width="15.28515625" style="18" customWidth="1"/>
    <col min="1038" max="1289" width="8.85546875" style="18"/>
    <col min="1290" max="1290" width="21.42578125" style="18" customWidth="1"/>
    <col min="1291" max="1291" width="17.7109375" style="18" customWidth="1"/>
    <col min="1292" max="1293" width="15.28515625" style="18" customWidth="1"/>
    <col min="1294" max="1545" width="8.85546875" style="18"/>
    <col min="1546" max="1546" width="21.42578125" style="18" customWidth="1"/>
    <col min="1547" max="1547" width="17.7109375" style="18" customWidth="1"/>
    <col min="1548" max="1549" width="15.28515625" style="18" customWidth="1"/>
    <col min="1550" max="1801" width="8.85546875" style="18"/>
    <col min="1802" max="1802" width="21.42578125" style="18" customWidth="1"/>
    <col min="1803" max="1803" width="17.7109375" style="18" customWidth="1"/>
    <col min="1804" max="1805" width="15.28515625" style="18" customWidth="1"/>
    <col min="1806" max="2057" width="8.85546875" style="18"/>
    <col min="2058" max="2058" width="21.42578125" style="18" customWidth="1"/>
    <col min="2059" max="2059" width="17.7109375" style="18" customWidth="1"/>
    <col min="2060" max="2061" width="15.28515625" style="18" customWidth="1"/>
    <col min="2062" max="2313" width="8.85546875" style="18"/>
    <col min="2314" max="2314" width="21.42578125" style="18" customWidth="1"/>
    <col min="2315" max="2315" width="17.7109375" style="18" customWidth="1"/>
    <col min="2316" max="2317" width="15.28515625" style="18" customWidth="1"/>
    <col min="2318" max="2569" width="8.85546875" style="18"/>
    <col min="2570" max="2570" width="21.42578125" style="18" customWidth="1"/>
    <col min="2571" max="2571" width="17.7109375" style="18" customWidth="1"/>
    <col min="2572" max="2573" width="15.28515625" style="18" customWidth="1"/>
    <col min="2574" max="2825" width="8.85546875" style="18"/>
    <col min="2826" max="2826" width="21.42578125" style="18" customWidth="1"/>
    <col min="2827" max="2827" width="17.7109375" style="18" customWidth="1"/>
    <col min="2828" max="2829" width="15.28515625" style="18" customWidth="1"/>
    <col min="2830" max="3081" width="8.85546875" style="18"/>
    <col min="3082" max="3082" width="21.42578125" style="18" customWidth="1"/>
    <col min="3083" max="3083" width="17.7109375" style="18" customWidth="1"/>
    <col min="3084" max="3085" width="15.28515625" style="18" customWidth="1"/>
    <col min="3086" max="3337" width="8.85546875" style="18"/>
    <col min="3338" max="3338" width="21.42578125" style="18" customWidth="1"/>
    <col min="3339" max="3339" width="17.7109375" style="18" customWidth="1"/>
    <col min="3340" max="3341" width="15.28515625" style="18" customWidth="1"/>
    <col min="3342" max="3593" width="8.85546875" style="18"/>
    <col min="3594" max="3594" width="21.42578125" style="18" customWidth="1"/>
    <col min="3595" max="3595" width="17.7109375" style="18" customWidth="1"/>
    <col min="3596" max="3597" width="15.28515625" style="18" customWidth="1"/>
    <col min="3598" max="3849" width="8.85546875" style="18"/>
    <col min="3850" max="3850" width="21.42578125" style="18" customWidth="1"/>
    <col min="3851" max="3851" width="17.7109375" style="18" customWidth="1"/>
    <col min="3852" max="3853" width="15.28515625" style="18" customWidth="1"/>
    <col min="3854" max="4105" width="8.85546875" style="18"/>
    <col min="4106" max="4106" width="21.42578125" style="18" customWidth="1"/>
    <col min="4107" max="4107" width="17.7109375" style="18" customWidth="1"/>
    <col min="4108" max="4109" width="15.28515625" style="18" customWidth="1"/>
    <col min="4110" max="4361" width="8.85546875" style="18"/>
    <col min="4362" max="4362" width="21.42578125" style="18" customWidth="1"/>
    <col min="4363" max="4363" width="17.7109375" style="18" customWidth="1"/>
    <col min="4364" max="4365" width="15.28515625" style="18" customWidth="1"/>
    <col min="4366" max="4617" width="8.85546875" style="18"/>
    <col min="4618" max="4618" width="21.42578125" style="18" customWidth="1"/>
    <col min="4619" max="4619" width="17.7109375" style="18" customWidth="1"/>
    <col min="4620" max="4621" width="15.28515625" style="18" customWidth="1"/>
    <col min="4622" max="4873" width="8.85546875" style="18"/>
    <col min="4874" max="4874" width="21.42578125" style="18" customWidth="1"/>
    <col min="4875" max="4875" width="17.7109375" style="18" customWidth="1"/>
    <col min="4876" max="4877" width="15.28515625" style="18" customWidth="1"/>
    <col min="4878" max="5129" width="8.85546875" style="18"/>
    <col min="5130" max="5130" width="21.42578125" style="18" customWidth="1"/>
    <col min="5131" max="5131" width="17.7109375" style="18" customWidth="1"/>
    <col min="5132" max="5133" width="15.28515625" style="18" customWidth="1"/>
    <col min="5134" max="5385" width="8.85546875" style="18"/>
    <col min="5386" max="5386" width="21.42578125" style="18" customWidth="1"/>
    <col min="5387" max="5387" width="17.7109375" style="18" customWidth="1"/>
    <col min="5388" max="5389" width="15.28515625" style="18" customWidth="1"/>
    <col min="5390" max="5641" width="8.85546875" style="18"/>
    <col min="5642" max="5642" width="21.42578125" style="18" customWidth="1"/>
    <col min="5643" max="5643" width="17.7109375" style="18" customWidth="1"/>
    <col min="5644" max="5645" width="15.28515625" style="18" customWidth="1"/>
    <col min="5646" max="5897" width="8.85546875" style="18"/>
    <col min="5898" max="5898" width="21.42578125" style="18" customWidth="1"/>
    <col min="5899" max="5899" width="17.7109375" style="18" customWidth="1"/>
    <col min="5900" max="5901" width="15.28515625" style="18" customWidth="1"/>
    <col min="5902" max="6153" width="8.85546875" style="18"/>
    <col min="6154" max="6154" width="21.42578125" style="18" customWidth="1"/>
    <col min="6155" max="6155" width="17.7109375" style="18" customWidth="1"/>
    <col min="6156" max="6157" width="15.28515625" style="18" customWidth="1"/>
    <col min="6158" max="6409" width="8.85546875" style="18"/>
    <col min="6410" max="6410" width="21.42578125" style="18" customWidth="1"/>
    <col min="6411" max="6411" width="17.7109375" style="18" customWidth="1"/>
    <col min="6412" max="6413" width="15.28515625" style="18" customWidth="1"/>
    <col min="6414" max="6665" width="8.85546875" style="18"/>
    <col min="6666" max="6666" width="21.42578125" style="18" customWidth="1"/>
    <col min="6667" max="6667" width="17.7109375" style="18" customWidth="1"/>
    <col min="6668" max="6669" width="15.28515625" style="18" customWidth="1"/>
    <col min="6670" max="6921" width="8.85546875" style="18"/>
    <col min="6922" max="6922" width="21.42578125" style="18" customWidth="1"/>
    <col min="6923" max="6923" width="17.7109375" style="18" customWidth="1"/>
    <col min="6924" max="6925" width="15.28515625" style="18" customWidth="1"/>
    <col min="6926" max="7177" width="8.85546875" style="18"/>
    <col min="7178" max="7178" width="21.42578125" style="18" customWidth="1"/>
    <col min="7179" max="7179" width="17.7109375" style="18" customWidth="1"/>
    <col min="7180" max="7181" width="15.28515625" style="18" customWidth="1"/>
    <col min="7182" max="7433" width="8.85546875" style="18"/>
    <col min="7434" max="7434" width="21.42578125" style="18" customWidth="1"/>
    <col min="7435" max="7435" width="17.7109375" style="18" customWidth="1"/>
    <col min="7436" max="7437" width="15.28515625" style="18" customWidth="1"/>
    <col min="7438" max="7689" width="8.85546875" style="18"/>
    <col min="7690" max="7690" width="21.42578125" style="18" customWidth="1"/>
    <col min="7691" max="7691" width="17.7109375" style="18" customWidth="1"/>
    <col min="7692" max="7693" width="15.28515625" style="18" customWidth="1"/>
    <col min="7694" max="7945" width="8.85546875" style="18"/>
    <col min="7946" max="7946" width="21.42578125" style="18" customWidth="1"/>
    <col min="7947" max="7947" width="17.7109375" style="18" customWidth="1"/>
    <col min="7948" max="7949" width="15.28515625" style="18" customWidth="1"/>
    <col min="7950" max="8201" width="8.85546875" style="18"/>
    <col min="8202" max="8202" width="21.42578125" style="18" customWidth="1"/>
    <col min="8203" max="8203" width="17.7109375" style="18" customWidth="1"/>
    <col min="8204" max="8205" width="15.28515625" style="18" customWidth="1"/>
    <col min="8206" max="8457" width="8.85546875" style="18"/>
    <col min="8458" max="8458" width="21.42578125" style="18" customWidth="1"/>
    <col min="8459" max="8459" width="17.7109375" style="18" customWidth="1"/>
    <col min="8460" max="8461" width="15.28515625" style="18" customWidth="1"/>
    <col min="8462" max="8713" width="8.85546875" style="18"/>
    <col min="8714" max="8714" width="21.42578125" style="18" customWidth="1"/>
    <col min="8715" max="8715" width="17.7109375" style="18" customWidth="1"/>
    <col min="8716" max="8717" width="15.28515625" style="18" customWidth="1"/>
    <col min="8718" max="8969" width="8.85546875" style="18"/>
    <col min="8970" max="8970" width="21.42578125" style="18" customWidth="1"/>
    <col min="8971" max="8971" width="17.7109375" style="18" customWidth="1"/>
    <col min="8972" max="8973" width="15.28515625" style="18" customWidth="1"/>
    <col min="8974" max="9225" width="8.85546875" style="18"/>
    <col min="9226" max="9226" width="21.42578125" style="18" customWidth="1"/>
    <col min="9227" max="9227" width="17.7109375" style="18" customWidth="1"/>
    <col min="9228" max="9229" width="15.28515625" style="18" customWidth="1"/>
    <col min="9230" max="9481" width="8.85546875" style="18"/>
    <col min="9482" max="9482" width="21.42578125" style="18" customWidth="1"/>
    <col min="9483" max="9483" width="17.7109375" style="18" customWidth="1"/>
    <col min="9484" max="9485" width="15.28515625" style="18" customWidth="1"/>
    <col min="9486" max="9737" width="8.85546875" style="18"/>
    <col min="9738" max="9738" width="21.42578125" style="18" customWidth="1"/>
    <col min="9739" max="9739" width="17.7109375" style="18" customWidth="1"/>
    <col min="9740" max="9741" width="15.28515625" style="18" customWidth="1"/>
    <col min="9742" max="9993" width="8.85546875" style="18"/>
    <col min="9994" max="9994" width="21.42578125" style="18" customWidth="1"/>
    <col min="9995" max="9995" width="17.7109375" style="18" customWidth="1"/>
    <col min="9996" max="9997" width="15.28515625" style="18" customWidth="1"/>
    <col min="9998" max="10249" width="8.85546875" style="18"/>
    <col min="10250" max="10250" width="21.42578125" style="18" customWidth="1"/>
    <col min="10251" max="10251" width="17.7109375" style="18" customWidth="1"/>
    <col min="10252" max="10253" width="15.28515625" style="18" customWidth="1"/>
    <col min="10254" max="10505" width="8.85546875" style="18"/>
    <col min="10506" max="10506" width="21.42578125" style="18" customWidth="1"/>
    <col min="10507" max="10507" width="17.7109375" style="18" customWidth="1"/>
    <col min="10508" max="10509" width="15.28515625" style="18" customWidth="1"/>
    <col min="10510" max="10761" width="8.85546875" style="18"/>
    <col min="10762" max="10762" width="21.42578125" style="18" customWidth="1"/>
    <col min="10763" max="10763" width="17.7109375" style="18" customWidth="1"/>
    <col min="10764" max="10765" width="15.28515625" style="18" customWidth="1"/>
    <col min="10766" max="11017" width="8.85546875" style="18"/>
    <col min="11018" max="11018" width="21.42578125" style="18" customWidth="1"/>
    <col min="11019" max="11019" width="17.7109375" style="18" customWidth="1"/>
    <col min="11020" max="11021" width="15.28515625" style="18" customWidth="1"/>
    <col min="11022" max="11273" width="8.85546875" style="18"/>
    <col min="11274" max="11274" width="21.42578125" style="18" customWidth="1"/>
    <col min="11275" max="11275" width="17.7109375" style="18" customWidth="1"/>
    <col min="11276" max="11277" width="15.28515625" style="18" customWidth="1"/>
    <col min="11278" max="11529" width="8.85546875" style="18"/>
    <col min="11530" max="11530" width="21.42578125" style="18" customWidth="1"/>
    <col min="11531" max="11531" width="17.7109375" style="18" customWidth="1"/>
    <col min="11532" max="11533" width="15.28515625" style="18" customWidth="1"/>
    <col min="11534" max="11785" width="8.85546875" style="18"/>
    <col min="11786" max="11786" width="21.42578125" style="18" customWidth="1"/>
    <col min="11787" max="11787" width="17.7109375" style="18" customWidth="1"/>
    <col min="11788" max="11789" width="15.28515625" style="18" customWidth="1"/>
    <col min="11790" max="12041" width="8.85546875" style="18"/>
    <col min="12042" max="12042" width="21.42578125" style="18" customWidth="1"/>
    <col min="12043" max="12043" width="17.7109375" style="18" customWidth="1"/>
    <col min="12044" max="12045" width="15.28515625" style="18" customWidth="1"/>
    <col min="12046" max="12297" width="8.85546875" style="18"/>
    <col min="12298" max="12298" width="21.42578125" style="18" customWidth="1"/>
    <col min="12299" max="12299" width="17.7109375" style="18" customWidth="1"/>
    <col min="12300" max="12301" width="15.28515625" style="18" customWidth="1"/>
    <col min="12302" max="12553" width="8.85546875" style="18"/>
    <col min="12554" max="12554" width="21.42578125" style="18" customWidth="1"/>
    <col min="12555" max="12555" width="17.7109375" style="18" customWidth="1"/>
    <col min="12556" max="12557" width="15.28515625" style="18" customWidth="1"/>
    <col min="12558" max="12809" width="8.85546875" style="18"/>
    <col min="12810" max="12810" width="21.42578125" style="18" customWidth="1"/>
    <col min="12811" max="12811" width="17.7109375" style="18" customWidth="1"/>
    <col min="12812" max="12813" width="15.28515625" style="18" customWidth="1"/>
    <col min="12814" max="13065" width="8.85546875" style="18"/>
    <col min="13066" max="13066" width="21.42578125" style="18" customWidth="1"/>
    <col min="13067" max="13067" width="17.7109375" style="18" customWidth="1"/>
    <col min="13068" max="13069" width="15.28515625" style="18" customWidth="1"/>
    <col min="13070" max="13321" width="8.85546875" style="18"/>
    <col min="13322" max="13322" width="21.42578125" style="18" customWidth="1"/>
    <col min="13323" max="13323" width="17.7109375" style="18" customWidth="1"/>
    <col min="13324" max="13325" width="15.28515625" style="18" customWidth="1"/>
    <col min="13326" max="13577" width="8.85546875" style="18"/>
    <col min="13578" max="13578" width="21.42578125" style="18" customWidth="1"/>
    <col min="13579" max="13579" width="17.7109375" style="18" customWidth="1"/>
    <col min="13580" max="13581" width="15.28515625" style="18" customWidth="1"/>
    <col min="13582" max="13833" width="8.85546875" style="18"/>
    <col min="13834" max="13834" width="21.42578125" style="18" customWidth="1"/>
    <col min="13835" max="13835" width="17.7109375" style="18" customWidth="1"/>
    <col min="13836" max="13837" width="15.28515625" style="18" customWidth="1"/>
    <col min="13838" max="14089" width="8.85546875" style="18"/>
    <col min="14090" max="14090" width="21.42578125" style="18" customWidth="1"/>
    <col min="14091" max="14091" width="17.7109375" style="18" customWidth="1"/>
    <col min="14092" max="14093" width="15.28515625" style="18" customWidth="1"/>
    <col min="14094" max="14345" width="8.85546875" style="18"/>
    <col min="14346" max="14346" width="21.42578125" style="18" customWidth="1"/>
    <col min="14347" max="14347" width="17.7109375" style="18" customWidth="1"/>
    <col min="14348" max="14349" width="15.28515625" style="18" customWidth="1"/>
    <col min="14350" max="14601" width="8.85546875" style="18"/>
    <col min="14602" max="14602" width="21.42578125" style="18" customWidth="1"/>
    <col min="14603" max="14603" width="17.7109375" style="18" customWidth="1"/>
    <col min="14604" max="14605" width="15.28515625" style="18" customWidth="1"/>
    <col min="14606" max="14857" width="8.85546875" style="18"/>
    <col min="14858" max="14858" width="21.42578125" style="18" customWidth="1"/>
    <col min="14859" max="14859" width="17.7109375" style="18" customWidth="1"/>
    <col min="14860" max="14861" width="15.28515625" style="18" customWidth="1"/>
    <col min="14862" max="15113" width="8.85546875" style="18"/>
    <col min="15114" max="15114" width="21.42578125" style="18" customWidth="1"/>
    <col min="15115" max="15115" width="17.7109375" style="18" customWidth="1"/>
    <col min="15116" max="15117" width="15.28515625" style="18" customWidth="1"/>
    <col min="15118" max="15369" width="8.85546875" style="18"/>
    <col min="15370" max="15370" width="21.42578125" style="18" customWidth="1"/>
    <col min="15371" max="15371" width="17.7109375" style="18" customWidth="1"/>
    <col min="15372" max="15373" width="15.28515625" style="18" customWidth="1"/>
    <col min="15374" max="15625" width="8.85546875" style="18"/>
    <col min="15626" max="15626" width="21.42578125" style="18" customWidth="1"/>
    <col min="15627" max="15627" width="17.7109375" style="18" customWidth="1"/>
    <col min="15628" max="15629" width="15.28515625" style="18" customWidth="1"/>
    <col min="15630" max="15881" width="8.85546875" style="18"/>
    <col min="15882" max="15882" width="21.42578125" style="18" customWidth="1"/>
    <col min="15883" max="15883" width="17.7109375" style="18" customWidth="1"/>
    <col min="15884" max="15885" width="15.28515625" style="18" customWidth="1"/>
    <col min="15886" max="16137" width="8.85546875" style="18"/>
    <col min="16138" max="16138" width="21.42578125" style="18" customWidth="1"/>
    <col min="16139" max="16139" width="17.7109375" style="18" customWidth="1"/>
    <col min="16140" max="16141" width="15.28515625" style="18" customWidth="1"/>
    <col min="16142" max="16384" width="8.85546875" style="18"/>
  </cols>
  <sheetData>
    <row r="1" spans="1:27" ht="25.15" customHeight="1" x14ac:dyDescent="0.2">
      <c r="A1" s="1151" t="s">
        <v>412</v>
      </c>
      <c r="B1" s="1152"/>
      <c r="C1" s="1152"/>
      <c r="D1" s="1152"/>
      <c r="E1" s="1152"/>
      <c r="F1" s="1152"/>
      <c r="G1" s="1152"/>
      <c r="H1" s="1152"/>
      <c r="I1" s="1152"/>
      <c r="J1" s="1152"/>
      <c r="K1" s="1152"/>
      <c r="L1" s="1152"/>
      <c r="M1" s="1152"/>
      <c r="N1" s="1152"/>
      <c r="O1" s="1152"/>
      <c r="P1" s="428"/>
    </row>
    <row r="2" spans="1:27" ht="31.5" customHeight="1" x14ac:dyDescent="0.2">
      <c r="A2" s="989" t="s">
        <v>132</v>
      </c>
      <c r="B2" s="989" t="str">
        <f>'Обслуживание АПС'!B2</f>
        <v xml:space="preserve">Нормативная численность обучающихся </v>
      </c>
      <c r="C2" s="989" t="s">
        <v>397</v>
      </c>
      <c r="D2" s="989" t="s">
        <v>214</v>
      </c>
      <c r="E2" s="989" t="s">
        <v>322</v>
      </c>
      <c r="F2" s="985" t="s">
        <v>129</v>
      </c>
      <c r="G2" s="986"/>
      <c r="H2" s="986"/>
      <c r="I2" s="987"/>
      <c r="J2" s="988" t="s">
        <v>373</v>
      </c>
      <c r="K2" s="988"/>
      <c r="L2" s="988"/>
      <c r="M2" s="988"/>
      <c r="N2" s="988"/>
      <c r="O2" s="989" t="s">
        <v>6</v>
      </c>
      <c r="P2" s="989" t="s">
        <v>325</v>
      </c>
    </row>
    <row r="3" spans="1:27" ht="75" customHeight="1" x14ac:dyDescent="0.2">
      <c r="A3" s="990"/>
      <c r="B3" s="990"/>
      <c r="C3" s="990"/>
      <c r="D3" s="990"/>
      <c r="E3" s="990"/>
      <c r="F3" s="739" t="s">
        <v>327</v>
      </c>
      <c r="G3" s="739" t="s">
        <v>137</v>
      </c>
      <c r="H3" s="739" t="s">
        <v>138</v>
      </c>
      <c r="I3" s="739" t="s">
        <v>128</v>
      </c>
      <c r="J3" s="738" t="s">
        <v>374</v>
      </c>
      <c r="K3" s="738" t="s">
        <v>375</v>
      </c>
      <c r="L3" s="738" t="s">
        <v>139</v>
      </c>
      <c r="M3" s="738" t="s">
        <v>140</v>
      </c>
      <c r="N3" s="738" t="s">
        <v>52</v>
      </c>
      <c r="O3" s="990"/>
      <c r="P3" s="990"/>
    </row>
    <row r="4" spans="1:27" ht="15" customHeight="1" x14ac:dyDescent="0.2">
      <c r="A4" s="1153" t="str">
        <f>'Обслуживание АПС'!A3</f>
        <v>МАДОУ ЦРР-детский сад № 2</v>
      </c>
      <c r="B4" s="1156">
        <f>'Обслуживание АПС'!B3</f>
        <v>506</v>
      </c>
      <c r="C4" s="552">
        <f>F4*2.53</f>
        <v>5843.2879999999996</v>
      </c>
      <c r="D4" s="551"/>
      <c r="E4" s="1159">
        <f>ROUND((F4+F5)/B4,3)</f>
        <v>6.8570000000000002</v>
      </c>
      <c r="F4" s="533">
        <v>2309.6</v>
      </c>
      <c r="G4" s="297">
        <v>14.433</v>
      </c>
      <c r="H4" s="742">
        <f>F4*G4</f>
        <v>33334.4568</v>
      </c>
      <c r="I4" s="742">
        <f>H4*12</f>
        <v>400013.4816</v>
      </c>
      <c r="J4" s="1060">
        <v>3</v>
      </c>
      <c r="K4" s="1060">
        <v>12392</v>
      </c>
      <c r="L4" s="1060">
        <f>K4*0.15</f>
        <v>1858.8</v>
      </c>
      <c r="M4" s="1060">
        <f>(K4+L4)*0.302</f>
        <v>4303.7415999999994</v>
      </c>
      <c r="N4" s="1060">
        <f>(K4+L4+M4)*J4*12</f>
        <v>667963.49759999989</v>
      </c>
      <c r="O4" s="1060">
        <f>D4+D5+I4+I5-N4+9500</f>
        <v>19149.314960000105</v>
      </c>
      <c r="P4" s="1147">
        <f>ROUND(O4/(F4+F5),2)</f>
        <v>5.52</v>
      </c>
      <c r="R4" s="805" t="s">
        <v>439</v>
      </c>
    </row>
    <row r="5" spans="1:27" ht="15" customHeight="1" x14ac:dyDescent="0.2">
      <c r="A5" s="1155"/>
      <c r="B5" s="1158"/>
      <c r="C5" s="552">
        <f>F5*4.9</f>
        <v>5683.5100000000011</v>
      </c>
      <c r="D5" s="551"/>
      <c r="E5" s="1161"/>
      <c r="F5" s="533">
        <v>1159.9000000000001</v>
      </c>
      <c r="G5" s="297">
        <v>19.944199999999999</v>
      </c>
      <c r="H5" s="742">
        <f>F5*G5</f>
        <v>23133.277580000002</v>
      </c>
      <c r="I5" s="742">
        <f t="shared" ref="I5:I15" si="0">H5*12</f>
        <v>277599.33096000005</v>
      </c>
      <c r="J5" s="1146"/>
      <c r="K5" s="1146"/>
      <c r="L5" s="1146"/>
      <c r="M5" s="1146"/>
      <c r="N5" s="1146"/>
      <c r="O5" s="1146"/>
      <c r="P5" s="1148"/>
      <c r="R5" s="805" t="s">
        <v>440</v>
      </c>
    </row>
    <row r="6" spans="1:27" ht="15" customHeight="1" x14ac:dyDescent="0.2">
      <c r="A6" s="1153" t="str">
        <f>'Обслуживание АПС'!A5</f>
        <v>МАДОУ ЦРР-детский сад № 11</v>
      </c>
      <c r="B6" s="1156">
        <f>'Обслуживание АПС'!B5</f>
        <v>559</v>
      </c>
      <c r="C6" s="552">
        <f>F6*2.53</f>
        <v>5625.2020000000002</v>
      </c>
      <c r="D6" s="551"/>
      <c r="E6" s="1159">
        <f>ROUND((F6+F7+F8)/B6,3)</f>
        <v>10.617000000000001</v>
      </c>
      <c r="F6" s="533">
        <v>2223.4</v>
      </c>
      <c r="G6" s="297">
        <v>15.35</v>
      </c>
      <c r="H6" s="742">
        <f>F6*G6</f>
        <v>34129.19</v>
      </c>
      <c r="I6" s="742">
        <f t="shared" si="0"/>
        <v>409550.28</v>
      </c>
      <c r="J6" s="1060">
        <v>3</v>
      </c>
      <c r="K6" s="1060">
        <f>K4</f>
        <v>12392</v>
      </c>
      <c r="L6" s="1060">
        <f t="shared" ref="L6:L20" si="1">K6*0.15</f>
        <v>1858.8</v>
      </c>
      <c r="M6" s="1060">
        <f t="shared" ref="M6:M20" si="2">(K6+L6)*0.302</f>
        <v>4303.7415999999994</v>
      </c>
      <c r="N6" s="1060">
        <f>(K6+L6+M6)*J6*12</f>
        <v>667963.49759999989</v>
      </c>
      <c r="O6" s="1060">
        <f>D6+D7+D8+I6+I7+I8-N6-1500+5000-1800</f>
        <v>273909.9944000002</v>
      </c>
      <c r="P6" s="1147">
        <f>ROUND(O6/(F6+F7+F8),2)</f>
        <v>46.15</v>
      </c>
      <c r="R6" s="805" t="s">
        <v>606</v>
      </c>
    </row>
    <row r="7" spans="1:27" ht="15" customHeight="1" x14ac:dyDescent="0.2">
      <c r="A7" s="1154"/>
      <c r="B7" s="1157"/>
      <c r="C7" s="552">
        <f>F7*2.62</f>
        <v>2946.7140000000004</v>
      </c>
      <c r="D7" s="551"/>
      <c r="E7" s="1160"/>
      <c r="F7" s="533">
        <v>1124.7</v>
      </c>
      <c r="G7" s="297">
        <v>15.35</v>
      </c>
      <c r="H7" s="742">
        <f>F7*G7</f>
        <v>17264.145</v>
      </c>
      <c r="I7" s="742">
        <f t="shared" si="0"/>
        <v>207169.74</v>
      </c>
      <c r="J7" s="1149"/>
      <c r="K7" s="1149"/>
      <c r="L7" s="1149"/>
      <c r="M7" s="1149"/>
      <c r="N7" s="1149"/>
      <c r="O7" s="1149"/>
      <c r="P7" s="1150"/>
    </row>
    <row r="8" spans="1:27" ht="15" customHeight="1" x14ac:dyDescent="0.2">
      <c r="A8" s="1155"/>
      <c r="B8" s="1158"/>
      <c r="C8" s="552">
        <f>F8*2.62</f>
        <v>6777.4160000000011</v>
      </c>
      <c r="D8" s="551"/>
      <c r="E8" s="1161"/>
      <c r="F8" s="533">
        <v>2586.8000000000002</v>
      </c>
      <c r="G8" s="297">
        <v>10.42</v>
      </c>
      <c r="H8" s="742">
        <f>F8*G8</f>
        <v>26954.456000000002</v>
      </c>
      <c r="I8" s="742">
        <f t="shared" si="0"/>
        <v>323453.47200000001</v>
      </c>
      <c r="J8" s="1146"/>
      <c r="K8" s="1146"/>
      <c r="L8" s="1146"/>
      <c r="M8" s="1146"/>
      <c r="N8" s="1146"/>
      <c r="O8" s="1146"/>
      <c r="P8" s="1148"/>
    </row>
    <row r="9" spans="1:27" ht="15" customHeight="1" x14ac:dyDescent="0.2">
      <c r="A9" s="1153" t="str">
        <f>'Обслуживание АПС'!A9</f>
        <v>МАДОУ ЦРР-детский сад № 13</v>
      </c>
      <c r="B9" s="1156">
        <f>'Обслуживание АПС'!B9</f>
        <v>633</v>
      </c>
      <c r="C9" s="552">
        <f>F9*2.68</f>
        <v>2695.2760000000003</v>
      </c>
      <c r="D9" s="552"/>
      <c r="E9" s="1159">
        <f>ROUND((F9+F10+F11+F12+F13)/B9,3)</f>
        <v>9.7959999999999994</v>
      </c>
      <c r="F9" s="16">
        <v>1005.7</v>
      </c>
      <c r="G9" s="539">
        <v>15.86</v>
      </c>
      <c r="H9" s="195">
        <f t="shared" ref="H9:H15" si="3">F9*G9</f>
        <v>15950.402</v>
      </c>
      <c r="I9" s="195">
        <f t="shared" si="0"/>
        <v>191404.82399999999</v>
      </c>
      <c r="J9" s="1060">
        <v>5</v>
      </c>
      <c r="K9" s="1060">
        <f>K6</f>
        <v>12392</v>
      </c>
      <c r="L9" s="1060">
        <f t="shared" si="1"/>
        <v>1858.8</v>
      </c>
      <c r="M9" s="1060">
        <f>(K9+L9)*0.302</f>
        <v>4303.7415999999994</v>
      </c>
      <c r="N9" s="1060">
        <f>(K9+L9+M9)*J9*12</f>
        <v>1113272.4959999998</v>
      </c>
      <c r="O9" s="1060">
        <f>D9+D10+D11+D12+D13+I9+I10+I11+I12+I13-N9+100</f>
        <v>221025.70000000019</v>
      </c>
      <c r="P9" s="1147">
        <f>ROUND(O9/(F9+F10+F11+F12+F13),2)</f>
        <v>35.64</v>
      </c>
      <c r="R9" s="1145" t="s">
        <v>456</v>
      </c>
      <c r="S9" s="1145"/>
      <c r="T9" s="1145"/>
      <c r="U9" s="1145"/>
      <c r="V9" s="1145"/>
      <c r="W9" s="1145"/>
      <c r="X9" s="1145"/>
      <c r="Y9" s="1145"/>
      <c r="Z9" s="1145"/>
      <c r="AA9" s="1145"/>
    </row>
    <row r="10" spans="1:27" ht="15" customHeight="1" x14ac:dyDescent="0.2">
      <c r="A10" s="1154"/>
      <c r="B10" s="1157"/>
      <c r="C10" s="552">
        <f>F10*2.87</f>
        <v>2098.8310000000001</v>
      </c>
      <c r="D10" s="552"/>
      <c r="E10" s="1160"/>
      <c r="F10" s="533">
        <v>731.3</v>
      </c>
      <c r="G10" s="297">
        <v>15.86</v>
      </c>
      <c r="H10" s="195">
        <f t="shared" si="3"/>
        <v>11598.418</v>
      </c>
      <c r="I10" s="195">
        <f t="shared" si="0"/>
        <v>139181.016</v>
      </c>
      <c r="J10" s="1149"/>
      <c r="K10" s="1149"/>
      <c r="L10" s="1149"/>
      <c r="M10" s="1149"/>
      <c r="N10" s="1149"/>
      <c r="O10" s="1149"/>
      <c r="P10" s="1150"/>
      <c r="R10" s="1145"/>
      <c r="S10" s="1145"/>
      <c r="T10" s="1145"/>
      <c r="U10" s="1145"/>
      <c r="V10" s="1145"/>
      <c r="W10" s="1145"/>
      <c r="X10" s="1145"/>
      <c r="Y10" s="1145"/>
      <c r="Z10" s="1145"/>
      <c r="AA10" s="1145"/>
    </row>
    <row r="11" spans="1:27" ht="15" customHeight="1" x14ac:dyDescent="0.2">
      <c r="A11" s="1154"/>
      <c r="B11" s="1157"/>
      <c r="C11" s="552">
        <f>F11*2.38</f>
        <v>1091.4680000000001</v>
      </c>
      <c r="D11" s="552"/>
      <c r="E11" s="1160"/>
      <c r="F11" s="533">
        <v>458.6</v>
      </c>
      <c r="G11" s="297">
        <v>15.82</v>
      </c>
      <c r="H11" s="742">
        <f t="shared" si="3"/>
        <v>7255.0520000000006</v>
      </c>
      <c r="I11" s="742">
        <f t="shared" si="0"/>
        <v>87060.624000000011</v>
      </c>
      <c r="J11" s="1149"/>
      <c r="K11" s="1149"/>
      <c r="L11" s="1149"/>
      <c r="M11" s="1149"/>
      <c r="N11" s="1149"/>
      <c r="O11" s="1149"/>
      <c r="P11" s="1150"/>
      <c r="R11" s="1145"/>
      <c r="S11" s="1145"/>
      <c r="T11" s="1145"/>
      <c r="U11" s="1145"/>
      <c r="V11" s="1145"/>
      <c r="W11" s="1145"/>
      <c r="X11" s="1145"/>
      <c r="Y11" s="1145"/>
      <c r="Z11" s="1145"/>
      <c r="AA11" s="1145"/>
    </row>
    <row r="12" spans="1:27" ht="15" customHeight="1" x14ac:dyDescent="0.2">
      <c r="A12" s="1154"/>
      <c r="B12" s="1157"/>
      <c r="C12" s="552">
        <f>F12*3</f>
        <v>6584.7000000000007</v>
      </c>
      <c r="D12" s="552"/>
      <c r="E12" s="1160"/>
      <c r="F12" s="533">
        <v>2194.9</v>
      </c>
      <c r="G12" s="297">
        <v>18.829999999999998</v>
      </c>
      <c r="H12" s="742">
        <f t="shared" si="3"/>
        <v>41329.966999999997</v>
      </c>
      <c r="I12" s="742">
        <f t="shared" si="0"/>
        <v>495959.60399999993</v>
      </c>
      <c r="J12" s="1149"/>
      <c r="K12" s="1149"/>
      <c r="L12" s="1149"/>
      <c r="M12" s="1149"/>
      <c r="N12" s="1149"/>
      <c r="O12" s="1149"/>
      <c r="P12" s="1150"/>
      <c r="R12" s="805" t="s">
        <v>458</v>
      </c>
    </row>
    <row r="13" spans="1:27" ht="15" customHeight="1" x14ac:dyDescent="0.2">
      <c r="A13" s="1155"/>
      <c r="B13" s="1158"/>
      <c r="C13" s="552">
        <f>F13*3</f>
        <v>5431.2000000000007</v>
      </c>
      <c r="D13" s="552"/>
      <c r="E13" s="1161"/>
      <c r="F13" s="533">
        <v>1810.4</v>
      </c>
      <c r="G13" s="297">
        <v>19.36</v>
      </c>
      <c r="H13" s="742">
        <f t="shared" si="3"/>
        <v>35049.343999999997</v>
      </c>
      <c r="I13" s="742">
        <f t="shared" si="0"/>
        <v>420592.12799999997</v>
      </c>
      <c r="J13" s="1146"/>
      <c r="K13" s="1146"/>
      <c r="L13" s="1146"/>
      <c r="M13" s="1146"/>
      <c r="N13" s="1146"/>
      <c r="O13" s="1146"/>
      <c r="P13" s="1148"/>
      <c r="R13" s="805" t="s">
        <v>457</v>
      </c>
    </row>
    <row r="14" spans="1:27" ht="15" customHeight="1" x14ac:dyDescent="0.2">
      <c r="A14" s="1153" t="str">
        <f>'Обслуживание АПС'!A14</f>
        <v>МАОУ СОШ № 1 структурное подразделение</v>
      </c>
      <c r="B14" s="1156">
        <f>'Обслуживание АПС'!B14</f>
        <v>381</v>
      </c>
      <c r="C14" s="552">
        <f>F14*3</f>
        <v>2662.8</v>
      </c>
      <c r="D14" s="551"/>
      <c r="E14" s="1159">
        <f>ROUND((F14+F15)/B14,3)</f>
        <v>7.6760000000000002</v>
      </c>
      <c r="F14" s="533">
        <v>887.6</v>
      </c>
      <c r="G14" s="297">
        <v>18.63</v>
      </c>
      <c r="H14" s="742">
        <f t="shared" si="3"/>
        <v>16535.988000000001</v>
      </c>
      <c r="I14" s="742">
        <f t="shared" si="0"/>
        <v>198431.85600000003</v>
      </c>
      <c r="J14" s="1060">
        <v>2.2000000000000002</v>
      </c>
      <c r="K14" s="1060">
        <f>K9</f>
        <v>12392</v>
      </c>
      <c r="L14" s="1060">
        <f t="shared" si="1"/>
        <v>1858.8</v>
      </c>
      <c r="M14" s="1060">
        <f t="shared" si="2"/>
        <v>4303.7415999999994</v>
      </c>
      <c r="N14" s="1060">
        <f>(K14+L14+M14)*J14*12</f>
        <v>489839.89823999995</v>
      </c>
      <c r="O14" s="1060">
        <f>D14+D15+I14+I15-N14</f>
        <v>99921.18576000008</v>
      </c>
      <c r="P14" s="1147">
        <f>ROUND(O14/(F14+F15),2)</f>
        <v>34.17</v>
      </c>
      <c r="R14" s="805" t="s">
        <v>485</v>
      </c>
    </row>
    <row r="15" spans="1:27" ht="15" customHeight="1" x14ac:dyDescent="0.2">
      <c r="A15" s="1155"/>
      <c r="B15" s="1158"/>
      <c r="C15" s="552">
        <f>F15*3</f>
        <v>6110.7000000000007</v>
      </c>
      <c r="D15" s="551"/>
      <c r="E15" s="1161"/>
      <c r="F15" s="533">
        <v>2036.9</v>
      </c>
      <c r="G15" s="297">
        <v>16.010000000000002</v>
      </c>
      <c r="H15" s="742">
        <f t="shared" si="3"/>
        <v>32610.769000000004</v>
      </c>
      <c r="I15" s="742">
        <f t="shared" si="0"/>
        <v>391329.22800000006</v>
      </c>
      <c r="J15" s="1146"/>
      <c r="K15" s="1146"/>
      <c r="L15" s="1146"/>
      <c r="M15" s="1146"/>
      <c r="N15" s="1146"/>
      <c r="O15" s="1146"/>
      <c r="P15" s="1148"/>
    </row>
    <row r="16" spans="1:27" ht="15" customHeight="1" x14ac:dyDescent="0.2">
      <c r="A16" s="744" t="str">
        <f>'Обслуживание АПС'!A15</f>
        <v>МАОУ СОШ № 2 им.М.И.Грибушина структурное подразделение</v>
      </c>
      <c r="B16" s="745">
        <f>'Обслуживание АПС'!B15</f>
        <v>288</v>
      </c>
      <c r="C16" s="552">
        <f>F16*2.43</f>
        <v>5220.1260000000002</v>
      </c>
      <c r="D16" s="551">
        <v>27000</v>
      </c>
      <c r="E16" s="746">
        <f>ROUND(F16/B16,3)</f>
        <v>7.4589999999999996</v>
      </c>
      <c r="F16" s="16">
        <v>2148.1999999999998</v>
      </c>
      <c r="G16" s="539">
        <v>14.55</v>
      </c>
      <c r="H16" s="195">
        <f>F16*G16</f>
        <v>31256.309999999998</v>
      </c>
      <c r="I16" s="195">
        <f>H16*12</f>
        <v>375075.72</v>
      </c>
      <c r="J16" s="742">
        <v>1</v>
      </c>
      <c r="K16" s="742">
        <f>K14</f>
        <v>12392</v>
      </c>
      <c r="L16" s="742">
        <f>K16*0.15</f>
        <v>1858.8</v>
      </c>
      <c r="M16" s="742">
        <f>(K16+L16)*0.302</f>
        <v>4303.7415999999994</v>
      </c>
      <c r="N16" s="742">
        <f>(K16+L16+M16)*J16*12</f>
        <v>222654.49919999996</v>
      </c>
      <c r="O16" s="742">
        <f>D16+I16-N16</f>
        <v>179421.22080000001</v>
      </c>
      <c r="P16" s="743">
        <f>ROUND(O16/F16,2)</f>
        <v>83.52</v>
      </c>
      <c r="R16" s="805" t="s">
        <v>654</v>
      </c>
    </row>
    <row r="17" spans="1:18" ht="15" customHeight="1" x14ac:dyDescent="0.2">
      <c r="A17" s="557" t="str">
        <f>'Обслуживание АПС'!A16</f>
        <v>МАОУ СОШ № 10 структурное подразделение</v>
      </c>
      <c r="B17" s="558">
        <f>'Обслуживание АПС'!B16</f>
        <v>262</v>
      </c>
      <c r="C17" s="666">
        <f>F17*2.64</f>
        <v>4123.9439999999995</v>
      </c>
      <c r="D17" s="551"/>
      <c r="E17" s="746">
        <f>ROUND(F17/B17,3)</f>
        <v>5.9619999999999997</v>
      </c>
      <c r="F17" s="533">
        <f>'Исходные данные'!D9</f>
        <v>1562.1</v>
      </c>
      <c r="G17" s="297">
        <v>14.31</v>
      </c>
      <c r="H17" s="742">
        <f>F17*G17</f>
        <v>22353.650999999998</v>
      </c>
      <c r="I17" s="742">
        <f>H17*12</f>
        <v>268243.81199999998</v>
      </c>
      <c r="J17" s="742">
        <v>1.2</v>
      </c>
      <c r="K17" s="742">
        <f>K16</f>
        <v>12392</v>
      </c>
      <c r="L17" s="742">
        <f t="shared" si="1"/>
        <v>1858.8</v>
      </c>
      <c r="M17" s="742">
        <f t="shared" si="2"/>
        <v>4303.7415999999994</v>
      </c>
      <c r="N17" s="742">
        <f>(K17+L17+M17)*J17*12</f>
        <v>267185.39903999993</v>
      </c>
      <c r="O17" s="742">
        <f>D17+I17-N17</f>
        <v>1058.4129600000451</v>
      </c>
      <c r="P17" s="743">
        <f>ROUND(O17/F17,2)</f>
        <v>0.68</v>
      </c>
      <c r="R17" s="805" t="s">
        <v>653</v>
      </c>
    </row>
    <row r="18" spans="1:18" ht="15" customHeight="1" x14ac:dyDescent="0.2">
      <c r="A18" s="556" t="str">
        <f>'Обслуживание АПС'!A17</f>
        <v>МАОУ СОШ № 13 структурное подразделение</v>
      </c>
      <c r="B18" s="558">
        <f>'Обслуживание АПС'!B17</f>
        <v>224</v>
      </c>
      <c r="C18" s="666">
        <f>F18*2.88</f>
        <v>6178.4639999999999</v>
      </c>
      <c r="D18" s="551"/>
      <c r="E18" s="746">
        <f t="shared" ref="E18:E20" si="4">ROUND(F18/B18,3)</f>
        <v>9.577</v>
      </c>
      <c r="F18" s="533">
        <f>2145.3</f>
        <v>2145.3000000000002</v>
      </c>
      <c r="G18" s="297">
        <v>14.8</v>
      </c>
      <c r="H18" s="742">
        <f>F18*G18</f>
        <v>31750.440000000006</v>
      </c>
      <c r="I18" s="742">
        <f>H18*12</f>
        <v>381005.28000000009</v>
      </c>
      <c r="J18" s="742">
        <v>1.5</v>
      </c>
      <c r="K18" s="742">
        <f>K17</f>
        <v>12392</v>
      </c>
      <c r="L18" s="742">
        <f t="shared" si="1"/>
        <v>1858.8</v>
      </c>
      <c r="M18" s="742">
        <f t="shared" si="2"/>
        <v>4303.7415999999994</v>
      </c>
      <c r="N18" s="742">
        <f>(K18+L18+M18)*J18*12</f>
        <v>333981.74879999994</v>
      </c>
      <c r="O18" s="742">
        <f>D18+I18-N18</f>
        <v>47023.531200000143</v>
      </c>
      <c r="P18" s="743">
        <f>ROUND(O18/F18,2)</f>
        <v>21.92</v>
      </c>
      <c r="R18" s="805" t="s">
        <v>639</v>
      </c>
    </row>
    <row r="19" spans="1:18" ht="15" customHeight="1" x14ac:dyDescent="0.2">
      <c r="A19" s="744" t="str">
        <f>'Обслуживание АПС'!A18</f>
        <v>Гимназия № 16 структурное подразделение</v>
      </c>
      <c r="B19" s="745">
        <f>'Обслуживание АПС'!B18</f>
        <v>456</v>
      </c>
      <c r="C19" s="552">
        <f>F19*2.58</f>
        <v>9274.5840000000007</v>
      </c>
      <c r="D19" s="551"/>
      <c r="E19" s="746">
        <f t="shared" si="4"/>
        <v>7.883</v>
      </c>
      <c r="F19" s="16">
        <f>2099.3+877.1+618.4</f>
        <v>3594.8</v>
      </c>
      <c r="G19" s="539">
        <v>12.26</v>
      </c>
      <c r="H19" s="195">
        <f>F19*G19</f>
        <v>44072.248</v>
      </c>
      <c r="I19" s="195">
        <f>H19*12</f>
        <v>528866.97600000002</v>
      </c>
      <c r="J19" s="742">
        <v>1.2</v>
      </c>
      <c r="K19" s="742">
        <f>K18</f>
        <v>12392</v>
      </c>
      <c r="L19" s="742">
        <f>K19*0.15</f>
        <v>1858.8</v>
      </c>
      <c r="M19" s="742">
        <f>(K19+L19)*0.302</f>
        <v>4303.7415999999994</v>
      </c>
      <c r="N19" s="742">
        <f>(K19+L19+M19)*J19*12</f>
        <v>267185.39903999993</v>
      </c>
      <c r="O19" s="742">
        <f>D19+I19-N19</f>
        <v>261681.57696000009</v>
      </c>
      <c r="P19" s="743">
        <f>ROUND(O19/F19,2)</f>
        <v>72.790000000000006</v>
      </c>
      <c r="R19" s="805" t="s">
        <v>652</v>
      </c>
    </row>
    <row r="20" spans="1:18" ht="27.75" customHeight="1" thickBot="1" x14ac:dyDescent="0.25">
      <c r="A20" s="556" t="str">
        <f>'Обслуживание АПС'!A19</f>
        <v>МАОУ ООШ № 17 с кадетскими классами структурное подразделение</v>
      </c>
      <c r="B20" s="745">
        <f>'Обслуживание АПС'!B19</f>
        <v>189</v>
      </c>
      <c r="C20" s="677"/>
      <c r="D20" s="551"/>
      <c r="E20" s="746">
        <f t="shared" si="4"/>
        <v>5.6079999999999997</v>
      </c>
      <c r="F20" s="533">
        <v>1059.9000000000001</v>
      </c>
      <c r="G20" s="297">
        <v>18.87</v>
      </c>
      <c r="H20" s="742">
        <f>(F20*G20)+(7904.46*1.2)</f>
        <v>29485.665000000001</v>
      </c>
      <c r="I20" s="742">
        <f>H20*12</f>
        <v>353827.98</v>
      </c>
      <c r="J20" s="742">
        <v>0.7</v>
      </c>
      <c r="K20" s="742">
        <f>K19</f>
        <v>12392</v>
      </c>
      <c r="L20" s="742">
        <f t="shared" si="1"/>
        <v>1858.8</v>
      </c>
      <c r="M20" s="742">
        <f t="shared" si="2"/>
        <v>4303.7415999999994</v>
      </c>
      <c r="N20" s="742">
        <f>(K20+L20+M20)*J20*12</f>
        <v>155858.14943999995</v>
      </c>
      <c r="O20" s="742">
        <f>D20+I20-N20+6314.58</f>
        <v>204284.41056000002</v>
      </c>
      <c r="P20" s="743">
        <f>ROUND(O20/F20,2)</f>
        <v>192.74</v>
      </c>
      <c r="R20" s="805" t="s">
        <v>643</v>
      </c>
    </row>
    <row r="21" spans="1:18" ht="13.5" thickBot="1" x14ac:dyDescent="0.25">
      <c r="A21" s="71" t="s">
        <v>9</v>
      </c>
      <c r="B21" s="296">
        <f>SUM(B4:B20)</f>
        <v>3498</v>
      </c>
      <c r="C21" s="114">
        <f>SUM(C4:C20)</f>
        <v>78348.222999999998</v>
      </c>
      <c r="D21" s="114">
        <f>SUM(D4:D20)</f>
        <v>27000</v>
      </c>
      <c r="E21" s="480">
        <f>ROUND(MEDIAN(E4:E20),3)</f>
        <v>7.6760000000000002</v>
      </c>
      <c r="F21" s="114">
        <f>SUM(F4:F20)</f>
        <v>29040.1</v>
      </c>
      <c r="G21" s="114"/>
      <c r="H21" s="114">
        <f>SUM(H4:H20)</f>
        <v>454063.77938000008</v>
      </c>
      <c r="I21" s="114">
        <f>SUM(I4:I20)</f>
        <v>5448765.3525600005</v>
      </c>
      <c r="J21" s="114">
        <f>SUM(J4:J20)</f>
        <v>18.799999999999997</v>
      </c>
      <c r="K21" s="114"/>
      <c r="L21" s="114">
        <f>SUM(L4:L20)</f>
        <v>16729.199999999997</v>
      </c>
      <c r="M21" s="114">
        <f>SUM(M4:M20)</f>
        <v>38733.674400000004</v>
      </c>
      <c r="N21" s="114">
        <f>SUM(N4:N20)</f>
        <v>4185904.5849599992</v>
      </c>
      <c r="O21" s="114">
        <f>SUM(O4:O20)</f>
        <v>1307475.3476000007</v>
      </c>
      <c r="P21" s="298">
        <f>ROUND(AVERAGE(P4:P20),2)</f>
        <v>54.79</v>
      </c>
    </row>
    <row r="22" spans="1:18" x14ac:dyDescent="0.2">
      <c r="N22" s="138" t="s">
        <v>234</v>
      </c>
      <c r="O22" s="140"/>
      <c r="P22" s="141">
        <f>ROUND(E21*P21,2)</f>
        <v>420.57</v>
      </c>
    </row>
    <row r="23" spans="1:18" x14ac:dyDescent="0.2">
      <c r="J23" s="1144">
        <f>ROUND('Исходные данные'!H22/2*0.25,2)</f>
        <v>0</v>
      </c>
    </row>
    <row r="24" spans="1:18" x14ac:dyDescent="0.2">
      <c r="J24" s="1144"/>
    </row>
    <row r="25" spans="1:18" s="805" customFormat="1" x14ac:dyDescent="0.2">
      <c r="J25" s="1144"/>
    </row>
    <row r="26" spans="1:18" s="805" customFormat="1" x14ac:dyDescent="0.2"/>
    <row r="27" spans="1:18" s="805" customFormat="1" x14ac:dyDescent="0.2">
      <c r="A27" s="805" t="s">
        <v>655</v>
      </c>
    </row>
    <row r="28" spans="1:18" s="805" customFormat="1" x14ac:dyDescent="0.2"/>
    <row r="29" spans="1:18" s="805" customFormat="1" x14ac:dyDescent="0.2"/>
    <row r="30" spans="1:18" s="805" customFormat="1" x14ac:dyDescent="0.2"/>
    <row r="31" spans="1:18" s="805" customFormat="1" x14ac:dyDescent="0.2"/>
    <row r="32" spans="1:18" s="805" customFormat="1" x14ac:dyDescent="0.2"/>
  </sheetData>
  <mergeCells count="52">
    <mergeCell ref="P14:P15"/>
    <mergeCell ref="A9:A13"/>
    <mergeCell ref="B9:B13"/>
    <mergeCell ref="J9:J13"/>
    <mergeCell ref="E9:E13"/>
    <mergeCell ref="E14:E15"/>
    <mergeCell ref="A14:A15"/>
    <mergeCell ref="B14:B15"/>
    <mergeCell ref="J14:J15"/>
    <mergeCell ref="K14:K15"/>
    <mergeCell ref="L14:L15"/>
    <mergeCell ref="K9:K13"/>
    <mergeCell ref="L9:L13"/>
    <mergeCell ref="A6:A8"/>
    <mergeCell ref="B6:B8"/>
    <mergeCell ref="E6:E8"/>
    <mergeCell ref="M4:M5"/>
    <mergeCell ref="J6:J8"/>
    <mergeCell ref="K6:K8"/>
    <mergeCell ref="L6:L8"/>
    <mergeCell ref="M6:M8"/>
    <mergeCell ref="A4:A5"/>
    <mergeCell ref="B4:B5"/>
    <mergeCell ref="J4:J5"/>
    <mergeCell ref="K4:K5"/>
    <mergeCell ref="L4:L5"/>
    <mergeCell ref="E4:E5"/>
    <mergeCell ref="A1:O1"/>
    <mergeCell ref="O2:O3"/>
    <mergeCell ref="A2:A3"/>
    <mergeCell ref="F2:I2"/>
    <mergeCell ref="J2:N2"/>
    <mergeCell ref="B2:B3"/>
    <mergeCell ref="E2:E3"/>
    <mergeCell ref="D2:D3"/>
    <mergeCell ref="C2:C3"/>
    <mergeCell ref="J23:J25"/>
    <mergeCell ref="R9:AA11"/>
    <mergeCell ref="P2:P3"/>
    <mergeCell ref="O4:O5"/>
    <mergeCell ref="P4:P5"/>
    <mergeCell ref="N4:N5"/>
    <mergeCell ref="N6:N8"/>
    <mergeCell ref="O6:O8"/>
    <mergeCell ref="P6:P8"/>
    <mergeCell ref="M9:M13"/>
    <mergeCell ref="N9:N13"/>
    <mergeCell ref="O9:O13"/>
    <mergeCell ref="P9:P13"/>
    <mergeCell ref="M14:M15"/>
    <mergeCell ref="N14:N15"/>
    <mergeCell ref="O14:O15"/>
  </mergeCells>
  <pageMargins left="0.74803149606299213" right="0.74803149606299213" top="0.98425196850393704" bottom="0.98425196850393704" header="0.51181102362204722" footer="0.51181102362204722"/>
  <pageSetup paperSize="9" scale="57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/>
  <dimension ref="A1:E18"/>
  <sheetViews>
    <sheetView zoomScale="110" zoomScaleNormal="110" workbookViewId="0">
      <selection activeCell="I22" sqref="I22"/>
    </sheetView>
  </sheetViews>
  <sheetFormatPr defaultColWidth="8.85546875" defaultRowHeight="12.75" x14ac:dyDescent="0.2"/>
  <cols>
    <col min="1" max="1" width="42.5703125" style="14" customWidth="1"/>
    <col min="2" max="2" width="12.28515625" style="14" customWidth="1"/>
    <col min="3" max="3" width="15.5703125" style="14" customWidth="1"/>
    <col min="4" max="4" width="12.7109375" style="14" customWidth="1"/>
    <col min="5" max="6" width="17.85546875" style="14" customWidth="1"/>
    <col min="7" max="256" width="8.85546875" style="14"/>
    <col min="257" max="257" width="27" style="14" customWidth="1"/>
    <col min="258" max="258" width="14.7109375" style="14" customWidth="1"/>
    <col min="259" max="259" width="14.5703125" style="14" customWidth="1"/>
    <col min="260" max="512" width="8.85546875" style="14"/>
    <col min="513" max="513" width="27" style="14" customWidth="1"/>
    <col min="514" max="514" width="14.7109375" style="14" customWidth="1"/>
    <col min="515" max="515" width="14.5703125" style="14" customWidth="1"/>
    <col min="516" max="768" width="8.85546875" style="14"/>
    <col min="769" max="769" width="27" style="14" customWidth="1"/>
    <col min="770" max="770" width="14.7109375" style="14" customWidth="1"/>
    <col min="771" max="771" width="14.5703125" style="14" customWidth="1"/>
    <col min="772" max="1024" width="8.85546875" style="14"/>
    <col min="1025" max="1025" width="27" style="14" customWidth="1"/>
    <col min="1026" max="1026" width="14.7109375" style="14" customWidth="1"/>
    <col min="1027" max="1027" width="14.5703125" style="14" customWidth="1"/>
    <col min="1028" max="1280" width="8.85546875" style="14"/>
    <col min="1281" max="1281" width="27" style="14" customWidth="1"/>
    <col min="1282" max="1282" width="14.7109375" style="14" customWidth="1"/>
    <col min="1283" max="1283" width="14.5703125" style="14" customWidth="1"/>
    <col min="1284" max="1536" width="8.85546875" style="14"/>
    <col min="1537" max="1537" width="27" style="14" customWidth="1"/>
    <col min="1538" max="1538" width="14.7109375" style="14" customWidth="1"/>
    <col min="1539" max="1539" width="14.5703125" style="14" customWidth="1"/>
    <col min="1540" max="1792" width="8.85546875" style="14"/>
    <col min="1793" max="1793" width="27" style="14" customWidth="1"/>
    <col min="1794" max="1794" width="14.7109375" style="14" customWidth="1"/>
    <col min="1795" max="1795" width="14.5703125" style="14" customWidth="1"/>
    <col min="1796" max="2048" width="8.85546875" style="14"/>
    <col min="2049" max="2049" width="27" style="14" customWidth="1"/>
    <col min="2050" max="2050" width="14.7109375" style="14" customWidth="1"/>
    <col min="2051" max="2051" width="14.5703125" style="14" customWidth="1"/>
    <col min="2052" max="2304" width="8.85546875" style="14"/>
    <col min="2305" max="2305" width="27" style="14" customWidth="1"/>
    <col min="2306" max="2306" width="14.7109375" style="14" customWidth="1"/>
    <col min="2307" max="2307" width="14.5703125" style="14" customWidth="1"/>
    <col min="2308" max="2560" width="8.85546875" style="14"/>
    <col min="2561" max="2561" width="27" style="14" customWidth="1"/>
    <col min="2562" max="2562" width="14.7109375" style="14" customWidth="1"/>
    <col min="2563" max="2563" width="14.5703125" style="14" customWidth="1"/>
    <col min="2564" max="2816" width="8.85546875" style="14"/>
    <col min="2817" max="2817" width="27" style="14" customWidth="1"/>
    <col min="2818" max="2818" width="14.7109375" style="14" customWidth="1"/>
    <col min="2819" max="2819" width="14.5703125" style="14" customWidth="1"/>
    <col min="2820" max="3072" width="8.85546875" style="14"/>
    <col min="3073" max="3073" width="27" style="14" customWidth="1"/>
    <col min="3074" max="3074" width="14.7109375" style="14" customWidth="1"/>
    <col min="3075" max="3075" width="14.5703125" style="14" customWidth="1"/>
    <col min="3076" max="3328" width="8.85546875" style="14"/>
    <col min="3329" max="3329" width="27" style="14" customWidth="1"/>
    <col min="3330" max="3330" width="14.7109375" style="14" customWidth="1"/>
    <col min="3331" max="3331" width="14.5703125" style="14" customWidth="1"/>
    <col min="3332" max="3584" width="8.85546875" style="14"/>
    <col min="3585" max="3585" width="27" style="14" customWidth="1"/>
    <col min="3586" max="3586" width="14.7109375" style="14" customWidth="1"/>
    <col min="3587" max="3587" width="14.5703125" style="14" customWidth="1"/>
    <col min="3588" max="3840" width="8.85546875" style="14"/>
    <col min="3841" max="3841" width="27" style="14" customWidth="1"/>
    <col min="3842" max="3842" width="14.7109375" style="14" customWidth="1"/>
    <col min="3843" max="3843" width="14.5703125" style="14" customWidth="1"/>
    <col min="3844" max="4096" width="8.85546875" style="14"/>
    <col min="4097" max="4097" width="27" style="14" customWidth="1"/>
    <col min="4098" max="4098" width="14.7109375" style="14" customWidth="1"/>
    <col min="4099" max="4099" width="14.5703125" style="14" customWidth="1"/>
    <col min="4100" max="4352" width="8.85546875" style="14"/>
    <col min="4353" max="4353" width="27" style="14" customWidth="1"/>
    <col min="4354" max="4354" width="14.7109375" style="14" customWidth="1"/>
    <col min="4355" max="4355" width="14.5703125" style="14" customWidth="1"/>
    <col min="4356" max="4608" width="8.85546875" style="14"/>
    <col min="4609" max="4609" width="27" style="14" customWidth="1"/>
    <col min="4610" max="4610" width="14.7109375" style="14" customWidth="1"/>
    <col min="4611" max="4611" width="14.5703125" style="14" customWidth="1"/>
    <col min="4612" max="4864" width="8.85546875" style="14"/>
    <col min="4865" max="4865" width="27" style="14" customWidth="1"/>
    <col min="4866" max="4866" width="14.7109375" style="14" customWidth="1"/>
    <col min="4867" max="4867" width="14.5703125" style="14" customWidth="1"/>
    <col min="4868" max="5120" width="8.85546875" style="14"/>
    <col min="5121" max="5121" width="27" style="14" customWidth="1"/>
    <col min="5122" max="5122" width="14.7109375" style="14" customWidth="1"/>
    <col min="5123" max="5123" width="14.5703125" style="14" customWidth="1"/>
    <col min="5124" max="5376" width="8.85546875" style="14"/>
    <col min="5377" max="5377" width="27" style="14" customWidth="1"/>
    <col min="5378" max="5378" width="14.7109375" style="14" customWidth="1"/>
    <col min="5379" max="5379" width="14.5703125" style="14" customWidth="1"/>
    <col min="5380" max="5632" width="8.85546875" style="14"/>
    <col min="5633" max="5633" width="27" style="14" customWidth="1"/>
    <col min="5634" max="5634" width="14.7109375" style="14" customWidth="1"/>
    <col min="5635" max="5635" width="14.5703125" style="14" customWidth="1"/>
    <col min="5636" max="5888" width="8.85546875" style="14"/>
    <col min="5889" max="5889" width="27" style="14" customWidth="1"/>
    <col min="5890" max="5890" width="14.7109375" style="14" customWidth="1"/>
    <col min="5891" max="5891" width="14.5703125" style="14" customWidth="1"/>
    <col min="5892" max="6144" width="8.85546875" style="14"/>
    <col min="6145" max="6145" width="27" style="14" customWidth="1"/>
    <col min="6146" max="6146" width="14.7109375" style="14" customWidth="1"/>
    <col min="6147" max="6147" width="14.5703125" style="14" customWidth="1"/>
    <col min="6148" max="6400" width="8.85546875" style="14"/>
    <col min="6401" max="6401" width="27" style="14" customWidth="1"/>
    <col min="6402" max="6402" width="14.7109375" style="14" customWidth="1"/>
    <col min="6403" max="6403" width="14.5703125" style="14" customWidth="1"/>
    <col min="6404" max="6656" width="8.85546875" style="14"/>
    <col min="6657" max="6657" width="27" style="14" customWidth="1"/>
    <col min="6658" max="6658" width="14.7109375" style="14" customWidth="1"/>
    <col min="6659" max="6659" width="14.5703125" style="14" customWidth="1"/>
    <col min="6660" max="6912" width="8.85546875" style="14"/>
    <col min="6913" max="6913" width="27" style="14" customWidth="1"/>
    <col min="6914" max="6914" width="14.7109375" style="14" customWidth="1"/>
    <col min="6915" max="6915" width="14.5703125" style="14" customWidth="1"/>
    <col min="6916" max="7168" width="8.85546875" style="14"/>
    <col min="7169" max="7169" width="27" style="14" customWidth="1"/>
    <col min="7170" max="7170" width="14.7109375" style="14" customWidth="1"/>
    <col min="7171" max="7171" width="14.5703125" style="14" customWidth="1"/>
    <col min="7172" max="7424" width="8.85546875" style="14"/>
    <col min="7425" max="7425" width="27" style="14" customWidth="1"/>
    <col min="7426" max="7426" width="14.7109375" style="14" customWidth="1"/>
    <col min="7427" max="7427" width="14.5703125" style="14" customWidth="1"/>
    <col min="7428" max="7680" width="8.85546875" style="14"/>
    <col min="7681" max="7681" width="27" style="14" customWidth="1"/>
    <col min="7682" max="7682" width="14.7109375" style="14" customWidth="1"/>
    <col min="7683" max="7683" width="14.5703125" style="14" customWidth="1"/>
    <col min="7684" max="7936" width="8.85546875" style="14"/>
    <col min="7937" max="7937" width="27" style="14" customWidth="1"/>
    <col min="7938" max="7938" width="14.7109375" style="14" customWidth="1"/>
    <col min="7939" max="7939" width="14.5703125" style="14" customWidth="1"/>
    <col min="7940" max="8192" width="8.85546875" style="14"/>
    <col min="8193" max="8193" width="27" style="14" customWidth="1"/>
    <col min="8194" max="8194" width="14.7109375" style="14" customWidth="1"/>
    <col min="8195" max="8195" width="14.5703125" style="14" customWidth="1"/>
    <col min="8196" max="8448" width="8.85546875" style="14"/>
    <col min="8449" max="8449" width="27" style="14" customWidth="1"/>
    <col min="8450" max="8450" width="14.7109375" style="14" customWidth="1"/>
    <col min="8451" max="8451" width="14.5703125" style="14" customWidth="1"/>
    <col min="8452" max="8704" width="8.85546875" style="14"/>
    <col min="8705" max="8705" width="27" style="14" customWidth="1"/>
    <col min="8706" max="8706" width="14.7109375" style="14" customWidth="1"/>
    <col min="8707" max="8707" width="14.5703125" style="14" customWidth="1"/>
    <col min="8708" max="8960" width="8.85546875" style="14"/>
    <col min="8961" max="8961" width="27" style="14" customWidth="1"/>
    <col min="8962" max="8962" width="14.7109375" style="14" customWidth="1"/>
    <col min="8963" max="8963" width="14.5703125" style="14" customWidth="1"/>
    <col min="8964" max="9216" width="8.85546875" style="14"/>
    <col min="9217" max="9217" width="27" style="14" customWidth="1"/>
    <col min="9218" max="9218" width="14.7109375" style="14" customWidth="1"/>
    <col min="9219" max="9219" width="14.5703125" style="14" customWidth="1"/>
    <col min="9220" max="9472" width="8.85546875" style="14"/>
    <col min="9473" max="9473" width="27" style="14" customWidth="1"/>
    <col min="9474" max="9474" width="14.7109375" style="14" customWidth="1"/>
    <col min="9475" max="9475" width="14.5703125" style="14" customWidth="1"/>
    <col min="9476" max="9728" width="8.85546875" style="14"/>
    <col min="9729" max="9729" width="27" style="14" customWidth="1"/>
    <col min="9730" max="9730" width="14.7109375" style="14" customWidth="1"/>
    <col min="9731" max="9731" width="14.5703125" style="14" customWidth="1"/>
    <col min="9732" max="9984" width="8.85546875" style="14"/>
    <col min="9985" max="9985" width="27" style="14" customWidth="1"/>
    <col min="9986" max="9986" width="14.7109375" style="14" customWidth="1"/>
    <col min="9987" max="9987" width="14.5703125" style="14" customWidth="1"/>
    <col min="9988" max="10240" width="8.85546875" style="14"/>
    <col min="10241" max="10241" width="27" style="14" customWidth="1"/>
    <col min="10242" max="10242" width="14.7109375" style="14" customWidth="1"/>
    <col min="10243" max="10243" width="14.5703125" style="14" customWidth="1"/>
    <col min="10244" max="10496" width="8.85546875" style="14"/>
    <col min="10497" max="10497" width="27" style="14" customWidth="1"/>
    <col min="10498" max="10498" width="14.7109375" style="14" customWidth="1"/>
    <col min="10499" max="10499" width="14.5703125" style="14" customWidth="1"/>
    <col min="10500" max="10752" width="8.85546875" style="14"/>
    <col min="10753" max="10753" width="27" style="14" customWidth="1"/>
    <col min="10754" max="10754" width="14.7109375" style="14" customWidth="1"/>
    <col min="10755" max="10755" width="14.5703125" style="14" customWidth="1"/>
    <col min="10756" max="11008" width="8.85546875" style="14"/>
    <col min="11009" max="11009" width="27" style="14" customWidth="1"/>
    <col min="11010" max="11010" width="14.7109375" style="14" customWidth="1"/>
    <col min="11011" max="11011" width="14.5703125" style="14" customWidth="1"/>
    <col min="11012" max="11264" width="8.85546875" style="14"/>
    <col min="11265" max="11265" width="27" style="14" customWidth="1"/>
    <col min="11266" max="11266" width="14.7109375" style="14" customWidth="1"/>
    <col min="11267" max="11267" width="14.5703125" style="14" customWidth="1"/>
    <col min="11268" max="11520" width="8.85546875" style="14"/>
    <col min="11521" max="11521" width="27" style="14" customWidth="1"/>
    <col min="11522" max="11522" width="14.7109375" style="14" customWidth="1"/>
    <col min="11523" max="11523" width="14.5703125" style="14" customWidth="1"/>
    <col min="11524" max="11776" width="8.85546875" style="14"/>
    <col min="11777" max="11777" width="27" style="14" customWidth="1"/>
    <col min="11778" max="11778" width="14.7109375" style="14" customWidth="1"/>
    <col min="11779" max="11779" width="14.5703125" style="14" customWidth="1"/>
    <col min="11780" max="12032" width="8.85546875" style="14"/>
    <col min="12033" max="12033" width="27" style="14" customWidth="1"/>
    <col min="12034" max="12034" width="14.7109375" style="14" customWidth="1"/>
    <col min="12035" max="12035" width="14.5703125" style="14" customWidth="1"/>
    <col min="12036" max="12288" width="8.85546875" style="14"/>
    <col min="12289" max="12289" width="27" style="14" customWidth="1"/>
    <col min="12290" max="12290" width="14.7109375" style="14" customWidth="1"/>
    <col min="12291" max="12291" width="14.5703125" style="14" customWidth="1"/>
    <col min="12292" max="12544" width="8.85546875" style="14"/>
    <col min="12545" max="12545" width="27" style="14" customWidth="1"/>
    <col min="12546" max="12546" width="14.7109375" style="14" customWidth="1"/>
    <col min="12547" max="12547" width="14.5703125" style="14" customWidth="1"/>
    <col min="12548" max="12800" width="8.85546875" style="14"/>
    <col min="12801" max="12801" width="27" style="14" customWidth="1"/>
    <col min="12802" max="12802" width="14.7109375" style="14" customWidth="1"/>
    <col min="12803" max="12803" width="14.5703125" style="14" customWidth="1"/>
    <col min="12804" max="13056" width="8.85546875" style="14"/>
    <col min="13057" max="13057" width="27" style="14" customWidth="1"/>
    <col min="13058" max="13058" width="14.7109375" style="14" customWidth="1"/>
    <col min="13059" max="13059" width="14.5703125" style="14" customWidth="1"/>
    <col min="13060" max="13312" width="8.85546875" style="14"/>
    <col min="13313" max="13313" width="27" style="14" customWidth="1"/>
    <col min="13314" max="13314" width="14.7109375" style="14" customWidth="1"/>
    <col min="13315" max="13315" width="14.5703125" style="14" customWidth="1"/>
    <col min="13316" max="13568" width="8.85546875" style="14"/>
    <col min="13569" max="13569" width="27" style="14" customWidth="1"/>
    <col min="13570" max="13570" width="14.7109375" style="14" customWidth="1"/>
    <col min="13571" max="13571" width="14.5703125" style="14" customWidth="1"/>
    <col min="13572" max="13824" width="8.85546875" style="14"/>
    <col min="13825" max="13825" width="27" style="14" customWidth="1"/>
    <col min="13826" max="13826" width="14.7109375" style="14" customWidth="1"/>
    <col min="13827" max="13827" width="14.5703125" style="14" customWidth="1"/>
    <col min="13828" max="14080" width="8.85546875" style="14"/>
    <col min="14081" max="14081" width="27" style="14" customWidth="1"/>
    <col min="14082" max="14082" width="14.7109375" style="14" customWidth="1"/>
    <col min="14083" max="14083" width="14.5703125" style="14" customWidth="1"/>
    <col min="14084" max="14336" width="8.85546875" style="14"/>
    <col min="14337" max="14337" width="27" style="14" customWidth="1"/>
    <col min="14338" max="14338" width="14.7109375" style="14" customWidth="1"/>
    <col min="14339" max="14339" width="14.5703125" style="14" customWidth="1"/>
    <col min="14340" max="14592" width="8.85546875" style="14"/>
    <col min="14593" max="14593" width="27" style="14" customWidth="1"/>
    <col min="14594" max="14594" width="14.7109375" style="14" customWidth="1"/>
    <col min="14595" max="14595" width="14.5703125" style="14" customWidth="1"/>
    <col min="14596" max="14848" width="8.85546875" style="14"/>
    <col min="14849" max="14849" width="27" style="14" customWidth="1"/>
    <col min="14850" max="14850" width="14.7109375" style="14" customWidth="1"/>
    <col min="14851" max="14851" width="14.5703125" style="14" customWidth="1"/>
    <col min="14852" max="15104" width="8.85546875" style="14"/>
    <col min="15105" max="15105" width="27" style="14" customWidth="1"/>
    <col min="15106" max="15106" width="14.7109375" style="14" customWidth="1"/>
    <col min="15107" max="15107" width="14.5703125" style="14" customWidth="1"/>
    <col min="15108" max="15360" width="8.85546875" style="14"/>
    <col min="15361" max="15361" width="27" style="14" customWidth="1"/>
    <col min="15362" max="15362" width="14.7109375" style="14" customWidth="1"/>
    <col min="15363" max="15363" width="14.5703125" style="14" customWidth="1"/>
    <col min="15364" max="15616" width="8.85546875" style="14"/>
    <col min="15617" max="15617" width="27" style="14" customWidth="1"/>
    <col min="15618" max="15618" width="14.7109375" style="14" customWidth="1"/>
    <col min="15619" max="15619" width="14.5703125" style="14" customWidth="1"/>
    <col min="15620" max="15872" width="8.85546875" style="14"/>
    <col min="15873" max="15873" width="27" style="14" customWidth="1"/>
    <col min="15874" max="15874" width="14.7109375" style="14" customWidth="1"/>
    <col min="15875" max="15875" width="14.5703125" style="14" customWidth="1"/>
    <col min="15876" max="16128" width="8.85546875" style="14"/>
    <col min="16129" max="16129" width="27" style="14" customWidth="1"/>
    <col min="16130" max="16130" width="14.7109375" style="14" customWidth="1"/>
    <col min="16131" max="16131" width="14.5703125" style="14" customWidth="1"/>
    <col min="16132" max="16384" width="8.85546875" style="14"/>
  </cols>
  <sheetData>
    <row r="1" spans="1:5" s="18" customFormat="1" ht="18" customHeight="1" x14ac:dyDescent="0.2">
      <c r="A1" s="1162" t="s">
        <v>418</v>
      </c>
      <c r="B1" s="1163"/>
      <c r="C1" s="1163"/>
    </row>
    <row r="2" spans="1:5" s="18" customFormat="1" ht="14.25" x14ac:dyDescent="0.2">
      <c r="A2" s="122"/>
      <c r="B2" s="123"/>
      <c r="C2" s="123"/>
    </row>
    <row r="3" spans="1:5" s="18" customFormat="1" ht="29.25" customHeight="1" x14ac:dyDescent="0.2">
      <c r="A3" s="99" t="s">
        <v>96</v>
      </c>
      <c r="B3" s="99" t="s">
        <v>190</v>
      </c>
      <c r="C3" s="99" t="s">
        <v>97</v>
      </c>
    </row>
    <row r="4" spans="1:5" s="18" customFormat="1" x14ac:dyDescent="0.2">
      <c r="A4" s="447" t="s">
        <v>151</v>
      </c>
      <c r="B4" s="124">
        <v>1693.06</v>
      </c>
      <c r="C4" s="124">
        <f>B4*12</f>
        <v>20316.72</v>
      </c>
    </row>
    <row r="5" spans="1:5" ht="14.25" x14ac:dyDescent="0.2">
      <c r="A5" s="794" t="s">
        <v>80</v>
      </c>
      <c r="B5" s="795">
        <f>SUM(B4:B4)</f>
        <v>1693.06</v>
      </c>
      <c r="C5" s="795">
        <f>SUM(C4:C4)</f>
        <v>20316.72</v>
      </c>
    </row>
    <row r="7" spans="1:5" ht="110.25" customHeight="1" x14ac:dyDescent="0.2">
      <c r="A7" s="261" t="s">
        <v>132</v>
      </c>
      <c r="B7" s="221" t="str">
        <f>'Абон. плата охраны по КТС'!B3</f>
        <v xml:space="preserve">Нормативная численность обучающихся </v>
      </c>
      <c r="C7" s="398" t="s">
        <v>333</v>
      </c>
      <c r="D7" s="379" t="s">
        <v>322</v>
      </c>
      <c r="E7" s="220" t="s">
        <v>25</v>
      </c>
    </row>
    <row r="8" spans="1:5" x14ac:dyDescent="0.2">
      <c r="A8" s="38" t="str">
        <f>'Абон. плата охраны по КТС'!A5</f>
        <v>МАДОУ ЦРР-детский сад № 2</v>
      </c>
      <c r="B8" s="255">
        <f>'Абон. плата охраны по КТС'!B5</f>
        <v>506</v>
      </c>
      <c r="C8" s="399">
        <v>1</v>
      </c>
      <c r="D8" s="400">
        <f>ROUND(C8/B8,3)</f>
        <v>2E-3</v>
      </c>
      <c r="E8" s="216">
        <f t="shared" ref="E8:E16" si="0">$C$5</f>
        <v>20316.72</v>
      </c>
    </row>
    <row r="9" spans="1:5" x14ac:dyDescent="0.2">
      <c r="A9" s="38" t="str">
        <f>'Абон. плата охраны по КТС'!A9</f>
        <v>МАДОУ ЦРР-детский сад № 11</v>
      </c>
      <c r="B9" s="255">
        <f>'Абон. плата охраны по КТС'!B9</f>
        <v>559</v>
      </c>
      <c r="C9" s="399">
        <v>1</v>
      </c>
      <c r="D9" s="400">
        <f t="shared" ref="D9:D16" si="1">ROUND(C9/B9,3)</f>
        <v>2E-3</v>
      </c>
      <c r="E9" s="216">
        <f t="shared" si="0"/>
        <v>20316.72</v>
      </c>
    </row>
    <row r="10" spans="1:5" x14ac:dyDescent="0.2">
      <c r="A10" s="38" t="str">
        <f>'Абон. плата охраны по КТС'!A13</f>
        <v>МАДОУ ЦРР-детский сад № 13</v>
      </c>
      <c r="B10" s="255">
        <f>'Абон. плата охраны по КТС'!B13</f>
        <v>633</v>
      </c>
      <c r="C10" s="399">
        <v>1</v>
      </c>
      <c r="D10" s="400">
        <f t="shared" si="1"/>
        <v>2E-3</v>
      </c>
      <c r="E10" s="216">
        <f t="shared" si="0"/>
        <v>20316.72</v>
      </c>
    </row>
    <row r="11" spans="1:5" x14ac:dyDescent="0.2">
      <c r="A11" s="38" t="str">
        <f>'Абон. плата охраны по КТС'!A18</f>
        <v>МАОУ СОШ № 1 структурное подразделение</v>
      </c>
      <c r="B11" s="255">
        <f>'Абон. плата охраны по КТС'!B18</f>
        <v>381</v>
      </c>
      <c r="C11" s="399">
        <v>1</v>
      </c>
      <c r="D11" s="400">
        <f t="shared" si="1"/>
        <v>3.0000000000000001E-3</v>
      </c>
      <c r="E11" s="216">
        <f t="shared" si="0"/>
        <v>20316.72</v>
      </c>
    </row>
    <row r="12" spans="1:5" ht="29.25" customHeight="1" x14ac:dyDescent="0.2">
      <c r="A12" s="46" t="str">
        <f>'Абон. плата охраны по КТС'!A20</f>
        <v>МАОУ СОШ № 2 им.М.И.Грибушина структурное подразделение</v>
      </c>
      <c r="B12" s="255">
        <f>'Абон. плата охраны по КТС'!B20</f>
        <v>288</v>
      </c>
      <c r="C12" s="399">
        <v>1</v>
      </c>
      <c r="D12" s="400">
        <f>ROUND(C12/B12,3)</f>
        <v>3.0000000000000001E-3</v>
      </c>
      <c r="E12" s="216">
        <f t="shared" si="0"/>
        <v>20316.72</v>
      </c>
    </row>
    <row r="13" spans="1:5" x14ac:dyDescent="0.2">
      <c r="A13" s="38" t="str">
        <f>'Абон. плата охраны по КТС'!A23</f>
        <v>МАОУ СОШ № 10 структурное подразделение</v>
      </c>
      <c r="B13" s="255">
        <f>'Абон. плата охраны по КТС'!B23</f>
        <v>262</v>
      </c>
      <c r="C13" s="399">
        <v>1</v>
      </c>
      <c r="D13" s="400">
        <f t="shared" si="1"/>
        <v>4.0000000000000001E-3</v>
      </c>
      <c r="E13" s="216">
        <f t="shared" si="0"/>
        <v>20316.72</v>
      </c>
    </row>
    <row r="14" spans="1:5" x14ac:dyDescent="0.2">
      <c r="A14" s="38" t="str">
        <f>'Абон. плата охраны по КТС'!A25</f>
        <v>МАОУ СОШ № 13 структурное подразделение</v>
      </c>
      <c r="B14" s="255">
        <f>'Абон. плата охраны по КТС'!B25</f>
        <v>224</v>
      </c>
      <c r="C14" s="399">
        <v>1</v>
      </c>
      <c r="D14" s="400">
        <f t="shared" si="1"/>
        <v>4.0000000000000001E-3</v>
      </c>
      <c r="E14" s="216">
        <f t="shared" si="0"/>
        <v>20316.72</v>
      </c>
    </row>
    <row r="15" spans="1:5" x14ac:dyDescent="0.2">
      <c r="A15" s="38" t="str">
        <f>'Абон. плата охраны по КТС'!A26</f>
        <v>Гимназия № 16 структурное подразделение</v>
      </c>
      <c r="B15" s="255">
        <f>'Абон. плата охраны по КТС'!B26</f>
        <v>456</v>
      </c>
      <c r="C15" s="399">
        <v>1</v>
      </c>
      <c r="D15" s="400">
        <f t="shared" si="1"/>
        <v>2E-3</v>
      </c>
      <c r="E15" s="216">
        <f t="shared" si="0"/>
        <v>20316.72</v>
      </c>
    </row>
    <row r="16" spans="1:5" ht="30" customHeight="1" thickBot="1" x14ac:dyDescent="0.25">
      <c r="A16" s="46" t="str">
        <f>'Абон. плата охраны по КТС'!A29</f>
        <v>МАОУ ООШ № 17 с кадетскими классами структурное подразделение</v>
      </c>
      <c r="B16" s="255">
        <f>'Абон. плата охраны по КТС'!B29</f>
        <v>189</v>
      </c>
      <c r="C16" s="399">
        <v>1</v>
      </c>
      <c r="D16" s="400">
        <f t="shared" si="1"/>
        <v>5.0000000000000001E-3</v>
      </c>
      <c r="E16" s="216">
        <f t="shared" si="0"/>
        <v>20316.72</v>
      </c>
    </row>
    <row r="17" spans="1:5" ht="13.5" thickBot="1" x14ac:dyDescent="0.25">
      <c r="A17" s="71" t="s">
        <v>1</v>
      </c>
      <c r="B17" s="296">
        <f>SUM(B8:B16)</f>
        <v>3498</v>
      </c>
      <c r="C17" s="397"/>
      <c r="D17" s="401">
        <f>ROUND(MEDIAN(D8:D16),3)</f>
        <v>3.0000000000000001E-3</v>
      </c>
      <c r="E17" s="121">
        <f>SUM(E8:E16)</f>
        <v>182850.48</v>
      </c>
    </row>
    <row r="18" spans="1:5" x14ac:dyDescent="0.2">
      <c r="C18" s="138" t="s">
        <v>240</v>
      </c>
      <c r="D18" s="140"/>
      <c r="E18" s="141">
        <f>ROUND(D17*C5,2)</f>
        <v>60.95</v>
      </c>
    </row>
  </sheetData>
  <mergeCells count="1">
    <mergeCell ref="A1:C1"/>
  </mergeCells>
  <pageMargins left="0.75" right="0.75" top="1" bottom="1" header="0.5" footer="0.5"/>
  <pageSetup paperSize="9" scale="85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/>
  <dimension ref="A1:I15"/>
  <sheetViews>
    <sheetView zoomScale="110" zoomScaleNormal="110" workbookViewId="0">
      <selection activeCell="I22" sqref="I22"/>
    </sheetView>
  </sheetViews>
  <sheetFormatPr defaultRowHeight="12.75" x14ac:dyDescent="0.2"/>
  <cols>
    <col min="1" max="1" width="35.7109375" style="64" customWidth="1"/>
    <col min="2" max="2" width="19.5703125" style="64" customWidth="1"/>
    <col min="3" max="3" width="21" style="64" customWidth="1"/>
    <col min="4" max="4" width="16.42578125" style="64" customWidth="1"/>
    <col min="5" max="5" width="13.140625" style="64" customWidth="1"/>
    <col min="6" max="6" width="13.42578125" style="64" customWidth="1"/>
    <col min="7" max="7" width="12.85546875" style="64" customWidth="1"/>
    <col min="8" max="253" width="9.140625" style="64"/>
    <col min="254" max="254" width="23.5703125" style="64" customWidth="1"/>
    <col min="255" max="255" width="19.7109375" style="64" customWidth="1"/>
    <col min="256" max="256" width="16.42578125" style="64" customWidth="1"/>
    <col min="257" max="257" width="16.28515625" style="64" customWidth="1"/>
    <col min="258" max="258" width="13.7109375" style="64" customWidth="1"/>
    <col min="259" max="259" width="12.7109375" style="64" customWidth="1"/>
    <col min="260" max="509" width="9.140625" style="64"/>
    <col min="510" max="510" width="23.5703125" style="64" customWidth="1"/>
    <col min="511" max="511" width="19.7109375" style="64" customWidth="1"/>
    <col min="512" max="512" width="16.42578125" style="64" customWidth="1"/>
    <col min="513" max="513" width="16.28515625" style="64" customWidth="1"/>
    <col min="514" max="514" width="13.7109375" style="64" customWidth="1"/>
    <col min="515" max="515" width="12.7109375" style="64" customWidth="1"/>
    <col min="516" max="765" width="9.140625" style="64"/>
    <col min="766" max="766" width="23.5703125" style="64" customWidth="1"/>
    <col min="767" max="767" width="19.7109375" style="64" customWidth="1"/>
    <col min="768" max="768" width="16.42578125" style="64" customWidth="1"/>
    <col min="769" max="769" width="16.28515625" style="64" customWidth="1"/>
    <col min="770" max="770" width="13.7109375" style="64" customWidth="1"/>
    <col min="771" max="771" width="12.7109375" style="64" customWidth="1"/>
    <col min="772" max="1021" width="9.140625" style="64"/>
    <col min="1022" max="1022" width="23.5703125" style="64" customWidth="1"/>
    <col min="1023" max="1023" width="19.7109375" style="64" customWidth="1"/>
    <col min="1024" max="1024" width="16.42578125" style="64" customWidth="1"/>
    <col min="1025" max="1025" width="16.28515625" style="64" customWidth="1"/>
    <col min="1026" max="1026" width="13.7109375" style="64" customWidth="1"/>
    <col min="1027" max="1027" width="12.7109375" style="64" customWidth="1"/>
    <col min="1028" max="1277" width="9.140625" style="64"/>
    <col min="1278" max="1278" width="23.5703125" style="64" customWidth="1"/>
    <col min="1279" max="1279" width="19.7109375" style="64" customWidth="1"/>
    <col min="1280" max="1280" width="16.42578125" style="64" customWidth="1"/>
    <col min="1281" max="1281" width="16.28515625" style="64" customWidth="1"/>
    <col min="1282" max="1282" width="13.7109375" style="64" customWidth="1"/>
    <col min="1283" max="1283" width="12.7109375" style="64" customWidth="1"/>
    <col min="1284" max="1533" width="9.140625" style="64"/>
    <col min="1534" max="1534" width="23.5703125" style="64" customWidth="1"/>
    <col min="1535" max="1535" width="19.7109375" style="64" customWidth="1"/>
    <col min="1536" max="1536" width="16.42578125" style="64" customWidth="1"/>
    <col min="1537" max="1537" width="16.28515625" style="64" customWidth="1"/>
    <col min="1538" max="1538" width="13.7109375" style="64" customWidth="1"/>
    <col min="1539" max="1539" width="12.7109375" style="64" customWidth="1"/>
    <col min="1540" max="1789" width="9.140625" style="64"/>
    <col min="1790" max="1790" width="23.5703125" style="64" customWidth="1"/>
    <col min="1791" max="1791" width="19.7109375" style="64" customWidth="1"/>
    <col min="1792" max="1792" width="16.42578125" style="64" customWidth="1"/>
    <col min="1793" max="1793" width="16.28515625" style="64" customWidth="1"/>
    <col min="1794" max="1794" width="13.7109375" style="64" customWidth="1"/>
    <col min="1795" max="1795" width="12.7109375" style="64" customWidth="1"/>
    <col min="1796" max="2045" width="9.140625" style="64"/>
    <col min="2046" max="2046" width="23.5703125" style="64" customWidth="1"/>
    <col min="2047" max="2047" width="19.7109375" style="64" customWidth="1"/>
    <col min="2048" max="2048" width="16.42578125" style="64" customWidth="1"/>
    <col min="2049" max="2049" width="16.28515625" style="64" customWidth="1"/>
    <col min="2050" max="2050" width="13.7109375" style="64" customWidth="1"/>
    <col min="2051" max="2051" width="12.7109375" style="64" customWidth="1"/>
    <col min="2052" max="2301" width="9.140625" style="64"/>
    <col min="2302" max="2302" width="23.5703125" style="64" customWidth="1"/>
    <col min="2303" max="2303" width="19.7109375" style="64" customWidth="1"/>
    <col min="2304" max="2304" width="16.42578125" style="64" customWidth="1"/>
    <col min="2305" max="2305" width="16.28515625" style="64" customWidth="1"/>
    <col min="2306" max="2306" width="13.7109375" style="64" customWidth="1"/>
    <col min="2307" max="2307" width="12.7109375" style="64" customWidth="1"/>
    <col min="2308" max="2557" width="9.140625" style="64"/>
    <col min="2558" max="2558" width="23.5703125" style="64" customWidth="1"/>
    <col min="2559" max="2559" width="19.7109375" style="64" customWidth="1"/>
    <col min="2560" max="2560" width="16.42578125" style="64" customWidth="1"/>
    <col min="2561" max="2561" width="16.28515625" style="64" customWidth="1"/>
    <col min="2562" max="2562" width="13.7109375" style="64" customWidth="1"/>
    <col min="2563" max="2563" width="12.7109375" style="64" customWidth="1"/>
    <col min="2564" max="2813" width="9.140625" style="64"/>
    <col min="2814" max="2814" width="23.5703125" style="64" customWidth="1"/>
    <col min="2815" max="2815" width="19.7109375" style="64" customWidth="1"/>
    <col min="2816" max="2816" width="16.42578125" style="64" customWidth="1"/>
    <col min="2817" max="2817" width="16.28515625" style="64" customWidth="1"/>
    <col min="2818" max="2818" width="13.7109375" style="64" customWidth="1"/>
    <col min="2819" max="2819" width="12.7109375" style="64" customWidth="1"/>
    <col min="2820" max="3069" width="9.140625" style="64"/>
    <col min="3070" max="3070" width="23.5703125" style="64" customWidth="1"/>
    <col min="3071" max="3071" width="19.7109375" style="64" customWidth="1"/>
    <col min="3072" max="3072" width="16.42578125" style="64" customWidth="1"/>
    <col min="3073" max="3073" width="16.28515625" style="64" customWidth="1"/>
    <col min="3074" max="3074" width="13.7109375" style="64" customWidth="1"/>
    <col min="3075" max="3075" width="12.7109375" style="64" customWidth="1"/>
    <col min="3076" max="3325" width="9.140625" style="64"/>
    <col min="3326" max="3326" width="23.5703125" style="64" customWidth="1"/>
    <col min="3327" max="3327" width="19.7109375" style="64" customWidth="1"/>
    <col min="3328" max="3328" width="16.42578125" style="64" customWidth="1"/>
    <col min="3329" max="3329" width="16.28515625" style="64" customWidth="1"/>
    <col min="3330" max="3330" width="13.7109375" style="64" customWidth="1"/>
    <col min="3331" max="3331" width="12.7109375" style="64" customWidth="1"/>
    <col min="3332" max="3581" width="9.140625" style="64"/>
    <col min="3582" max="3582" width="23.5703125" style="64" customWidth="1"/>
    <col min="3583" max="3583" width="19.7109375" style="64" customWidth="1"/>
    <col min="3584" max="3584" width="16.42578125" style="64" customWidth="1"/>
    <col min="3585" max="3585" width="16.28515625" style="64" customWidth="1"/>
    <col min="3586" max="3586" width="13.7109375" style="64" customWidth="1"/>
    <col min="3587" max="3587" width="12.7109375" style="64" customWidth="1"/>
    <col min="3588" max="3837" width="9.140625" style="64"/>
    <col min="3838" max="3838" width="23.5703125" style="64" customWidth="1"/>
    <col min="3839" max="3839" width="19.7109375" style="64" customWidth="1"/>
    <col min="3840" max="3840" width="16.42578125" style="64" customWidth="1"/>
    <col min="3841" max="3841" width="16.28515625" style="64" customWidth="1"/>
    <col min="3842" max="3842" width="13.7109375" style="64" customWidth="1"/>
    <col min="3843" max="3843" width="12.7109375" style="64" customWidth="1"/>
    <col min="3844" max="4093" width="9.140625" style="64"/>
    <col min="4094" max="4094" width="23.5703125" style="64" customWidth="1"/>
    <col min="4095" max="4095" width="19.7109375" style="64" customWidth="1"/>
    <col min="4096" max="4096" width="16.42578125" style="64" customWidth="1"/>
    <col min="4097" max="4097" width="16.28515625" style="64" customWidth="1"/>
    <col min="4098" max="4098" width="13.7109375" style="64" customWidth="1"/>
    <col min="4099" max="4099" width="12.7109375" style="64" customWidth="1"/>
    <col min="4100" max="4349" width="9.140625" style="64"/>
    <col min="4350" max="4350" width="23.5703125" style="64" customWidth="1"/>
    <col min="4351" max="4351" width="19.7109375" style="64" customWidth="1"/>
    <col min="4352" max="4352" width="16.42578125" style="64" customWidth="1"/>
    <col min="4353" max="4353" width="16.28515625" style="64" customWidth="1"/>
    <col min="4354" max="4354" width="13.7109375" style="64" customWidth="1"/>
    <col min="4355" max="4355" width="12.7109375" style="64" customWidth="1"/>
    <col min="4356" max="4605" width="9.140625" style="64"/>
    <col min="4606" max="4606" width="23.5703125" style="64" customWidth="1"/>
    <col min="4607" max="4607" width="19.7109375" style="64" customWidth="1"/>
    <col min="4608" max="4608" width="16.42578125" style="64" customWidth="1"/>
    <col min="4609" max="4609" width="16.28515625" style="64" customWidth="1"/>
    <col min="4610" max="4610" width="13.7109375" style="64" customWidth="1"/>
    <col min="4611" max="4611" width="12.7109375" style="64" customWidth="1"/>
    <col min="4612" max="4861" width="9.140625" style="64"/>
    <col min="4862" max="4862" width="23.5703125" style="64" customWidth="1"/>
    <col min="4863" max="4863" width="19.7109375" style="64" customWidth="1"/>
    <col min="4864" max="4864" width="16.42578125" style="64" customWidth="1"/>
    <col min="4865" max="4865" width="16.28515625" style="64" customWidth="1"/>
    <col min="4866" max="4866" width="13.7109375" style="64" customWidth="1"/>
    <col min="4867" max="4867" width="12.7109375" style="64" customWidth="1"/>
    <col min="4868" max="5117" width="9.140625" style="64"/>
    <col min="5118" max="5118" width="23.5703125" style="64" customWidth="1"/>
    <col min="5119" max="5119" width="19.7109375" style="64" customWidth="1"/>
    <col min="5120" max="5120" width="16.42578125" style="64" customWidth="1"/>
    <col min="5121" max="5121" width="16.28515625" style="64" customWidth="1"/>
    <col min="5122" max="5122" width="13.7109375" style="64" customWidth="1"/>
    <col min="5123" max="5123" width="12.7109375" style="64" customWidth="1"/>
    <col min="5124" max="5373" width="9.140625" style="64"/>
    <col min="5374" max="5374" width="23.5703125" style="64" customWidth="1"/>
    <col min="5375" max="5375" width="19.7109375" style="64" customWidth="1"/>
    <col min="5376" max="5376" width="16.42578125" style="64" customWidth="1"/>
    <col min="5377" max="5377" width="16.28515625" style="64" customWidth="1"/>
    <col min="5378" max="5378" width="13.7109375" style="64" customWidth="1"/>
    <col min="5379" max="5379" width="12.7109375" style="64" customWidth="1"/>
    <col min="5380" max="5629" width="9.140625" style="64"/>
    <col min="5630" max="5630" width="23.5703125" style="64" customWidth="1"/>
    <col min="5631" max="5631" width="19.7109375" style="64" customWidth="1"/>
    <col min="5632" max="5632" width="16.42578125" style="64" customWidth="1"/>
    <col min="5633" max="5633" width="16.28515625" style="64" customWidth="1"/>
    <col min="5634" max="5634" width="13.7109375" style="64" customWidth="1"/>
    <col min="5635" max="5635" width="12.7109375" style="64" customWidth="1"/>
    <col min="5636" max="5885" width="9.140625" style="64"/>
    <col min="5886" max="5886" width="23.5703125" style="64" customWidth="1"/>
    <col min="5887" max="5887" width="19.7109375" style="64" customWidth="1"/>
    <col min="5888" max="5888" width="16.42578125" style="64" customWidth="1"/>
    <col min="5889" max="5889" width="16.28515625" style="64" customWidth="1"/>
    <col min="5890" max="5890" width="13.7109375" style="64" customWidth="1"/>
    <col min="5891" max="5891" width="12.7109375" style="64" customWidth="1"/>
    <col min="5892" max="6141" width="9.140625" style="64"/>
    <col min="6142" max="6142" width="23.5703125" style="64" customWidth="1"/>
    <col min="6143" max="6143" width="19.7109375" style="64" customWidth="1"/>
    <col min="6144" max="6144" width="16.42578125" style="64" customWidth="1"/>
    <col min="6145" max="6145" width="16.28515625" style="64" customWidth="1"/>
    <col min="6146" max="6146" width="13.7109375" style="64" customWidth="1"/>
    <col min="6147" max="6147" width="12.7109375" style="64" customWidth="1"/>
    <col min="6148" max="6397" width="9.140625" style="64"/>
    <col min="6398" max="6398" width="23.5703125" style="64" customWidth="1"/>
    <col min="6399" max="6399" width="19.7109375" style="64" customWidth="1"/>
    <col min="6400" max="6400" width="16.42578125" style="64" customWidth="1"/>
    <col min="6401" max="6401" width="16.28515625" style="64" customWidth="1"/>
    <col min="6402" max="6402" width="13.7109375" style="64" customWidth="1"/>
    <col min="6403" max="6403" width="12.7109375" style="64" customWidth="1"/>
    <col min="6404" max="6653" width="9.140625" style="64"/>
    <col min="6654" max="6654" width="23.5703125" style="64" customWidth="1"/>
    <col min="6655" max="6655" width="19.7109375" style="64" customWidth="1"/>
    <col min="6656" max="6656" width="16.42578125" style="64" customWidth="1"/>
    <col min="6657" max="6657" width="16.28515625" style="64" customWidth="1"/>
    <col min="6658" max="6658" width="13.7109375" style="64" customWidth="1"/>
    <col min="6659" max="6659" width="12.7109375" style="64" customWidth="1"/>
    <col min="6660" max="6909" width="9.140625" style="64"/>
    <col min="6910" max="6910" width="23.5703125" style="64" customWidth="1"/>
    <col min="6911" max="6911" width="19.7109375" style="64" customWidth="1"/>
    <col min="6912" max="6912" width="16.42578125" style="64" customWidth="1"/>
    <col min="6913" max="6913" width="16.28515625" style="64" customWidth="1"/>
    <col min="6914" max="6914" width="13.7109375" style="64" customWidth="1"/>
    <col min="6915" max="6915" width="12.7109375" style="64" customWidth="1"/>
    <col min="6916" max="7165" width="9.140625" style="64"/>
    <col min="7166" max="7166" width="23.5703125" style="64" customWidth="1"/>
    <col min="7167" max="7167" width="19.7109375" style="64" customWidth="1"/>
    <col min="7168" max="7168" width="16.42578125" style="64" customWidth="1"/>
    <col min="7169" max="7169" width="16.28515625" style="64" customWidth="1"/>
    <col min="7170" max="7170" width="13.7109375" style="64" customWidth="1"/>
    <col min="7171" max="7171" width="12.7109375" style="64" customWidth="1"/>
    <col min="7172" max="7421" width="9.140625" style="64"/>
    <col min="7422" max="7422" width="23.5703125" style="64" customWidth="1"/>
    <col min="7423" max="7423" width="19.7109375" style="64" customWidth="1"/>
    <col min="7424" max="7424" width="16.42578125" style="64" customWidth="1"/>
    <col min="7425" max="7425" width="16.28515625" style="64" customWidth="1"/>
    <col min="7426" max="7426" width="13.7109375" style="64" customWidth="1"/>
    <col min="7427" max="7427" width="12.7109375" style="64" customWidth="1"/>
    <col min="7428" max="7677" width="9.140625" style="64"/>
    <col min="7678" max="7678" width="23.5703125" style="64" customWidth="1"/>
    <col min="7679" max="7679" width="19.7109375" style="64" customWidth="1"/>
    <col min="7680" max="7680" width="16.42578125" style="64" customWidth="1"/>
    <col min="7681" max="7681" width="16.28515625" style="64" customWidth="1"/>
    <col min="7682" max="7682" width="13.7109375" style="64" customWidth="1"/>
    <col min="7683" max="7683" width="12.7109375" style="64" customWidth="1"/>
    <col min="7684" max="7933" width="9.140625" style="64"/>
    <col min="7934" max="7934" width="23.5703125" style="64" customWidth="1"/>
    <col min="7935" max="7935" width="19.7109375" style="64" customWidth="1"/>
    <col min="7936" max="7936" width="16.42578125" style="64" customWidth="1"/>
    <col min="7937" max="7937" width="16.28515625" style="64" customWidth="1"/>
    <col min="7938" max="7938" width="13.7109375" style="64" customWidth="1"/>
    <col min="7939" max="7939" width="12.7109375" style="64" customWidth="1"/>
    <col min="7940" max="8189" width="9.140625" style="64"/>
    <col min="8190" max="8190" width="23.5703125" style="64" customWidth="1"/>
    <col min="8191" max="8191" width="19.7109375" style="64" customWidth="1"/>
    <col min="8192" max="8192" width="16.42578125" style="64" customWidth="1"/>
    <col min="8193" max="8193" width="16.28515625" style="64" customWidth="1"/>
    <col min="8194" max="8194" width="13.7109375" style="64" customWidth="1"/>
    <col min="8195" max="8195" width="12.7109375" style="64" customWidth="1"/>
    <col min="8196" max="8445" width="9.140625" style="64"/>
    <col min="8446" max="8446" width="23.5703125" style="64" customWidth="1"/>
    <col min="8447" max="8447" width="19.7109375" style="64" customWidth="1"/>
    <col min="8448" max="8448" width="16.42578125" style="64" customWidth="1"/>
    <col min="8449" max="8449" width="16.28515625" style="64" customWidth="1"/>
    <col min="8450" max="8450" width="13.7109375" style="64" customWidth="1"/>
    <col min="8451" max="8451" width="12.7109375" style="64" customWidth="1"/>
    <col min="8452" max="8701" width="9.140625" style="64"/>
    <col min="8702" max="8702" width="23.5703125" style="64" customWidth="1"/>
    <col min="8703" max="8703" width="19.7109375" style="64" customWidth="1"/>
    <col min="8704" max="8704" width="16.42578125" style="64" customWidth="1"/>
    <col min="8705" max="8705" width="16.28515625" style="64" customWidth="1"/>
    <col min="8706" max="8706" width="13.7109375" style="64" customWidth="1"/>
    <col min="8707" max="8707" width="12.7109375" style="64" customWidth="1"/>
    <col min="8708" max="8957" width="9.140625" style="64"/>
    <col min="8958" max="8958" width="23.5703125" style="64" customWidth="1"/>
    <col min="8959" max="8959" width="19.7109375" style="64" customWidth="1"/>
    <col min="8960" max="8960" width="16.42578125" style="64" customWidth="1"/>
    <col min="8961" max="8961" width="16.28515625" style="64" customWidth="1"/>
    <col min="8962" max="8962" width="13.7109375" style="64" customWidth="1"/>
    <col min="8963" max="8963" width="12.7109375" style="64" customWidth="1"/>
    <col min="8964" max="9213" width="9.140625" style="64"/>
    <col min="9214" max="9214" width="23.5703125" style="64" customWidth="1"/>
    <col min="9215" max="9215" width="19.7109375" style="64" customWidth="1"/>
    <col min="9216" max="9216" width="16.42578125" style="64" customWidth="1"/>
    <col min="9217" max="9217" width="16.28515625" style="64" customWidth="1"/>
    <col min="9218" max="9218" width="13.7109375" style="64" customWidth="1"/>
    <col min="9219" max="9219" width="12.7109375" style="64" customWidth="1"/>
    <col min="9220" max="9469" width="9.140625" style="64"/>
    <col min="9470" max="9470" width="23.5703125" style="64" customWidth="1"/>
    <col min="9471" max="9471" width="19.7109375" style="64" customWidth="1"/>
    <col min="9472" max="9472" width="16.42578125" style="64" customWidth="1"/>
    <col min="9473" max="9473" width="16.28515625" style="64" customWidth="1"/>
    <col min="9474" max="9474" width="13.7109375" style="64" customWidth="1"/>
    <col min="9475" max="9475" width="12.7109375" style="64" customWidth="1"/>
    <col min="9476" max="9725" width="9.140625" style="64"/>
    <col min="9726" max="9726" width="23.5703125" style="64" customWidth="1"/>
    <col min="9727" max="9727" width="19.7109375" style="64" customWidth="1"/>
    <col min="9728" max="9728" width="16.42578125" style="64" customWidth="1"/>
    <col min="9729" max="9729" width="16.28515625" style="64" customWidth="1"/>
    <col min="9730" max="9730" width="13.7109375" style="64" customWidth="1"/>
    <col min="9731" max="9731" width="12.7109375" style="64" customWidth="1"/>
    <col min="9732" max="9981" width="9.140625" style="64"/>
    <col min="9982" max="9982" width="23.5703125" style="64" customWidth="1"/>
    <col min="9983" max="9983" width="19.7109375" style="64" customWidth="1"/>
    <col min="9984" max="9984" width="16.42578125" style="64" customWidth="1"/>
    <col min="9985" max="9985" width="16.28515625" style="64" customWidth="1"/>
    <col min="9986" max="9986" width="13.7109375" style="64" customWidth="1"/>
    <col min="9987" max="9987" width="12.7109375" style="64" customWidth="1"/>
    <col min="9988" max="10237" width="9.140625" style="64"/>
    <col min="10238" max="10238" width="23.5703125" style="64" customWidth="1"/>
    <col min="10239" max="10239" width="19.7109375" style="64" customWidth="1"/>
    <col min="10240" max="10240" width="16.42578125" style="64" customWidth="1"/>
    <col min="10241" max="10241" width="16.28515625" style="64" customWidth="1"/>
    <col min="10242" max="10242" width="13.7109375" style="64" customWidth="1"/>
    <col min="10243" max="10243" width="12.7109375" style="64" customWidth="1"/>
    <col min="10244" max="10493" width="9.140625" style="64"/>
    <col min="10494" max="10494" width="23.5703125" style="64" customWidth="1"/>
    <col min="10495" max="10495" width="19.7109375" style="64" customWidth="1"/>
    <col min="10496" max="10496" width="16.42578125" style="64" customWidth="1"/>
    <col min="10497" max="10497" width="16.28515625" style="64" customWidth="1"/>
    <col min="10498" max="10498" width="13.7109375" style="64" customWidth="1"/>
    <col min="10499" max="10499" width="12.7109375" style="64" customWidth="1"/>
    <col min="10500" max="10749" width="9.140625" style="64"/>
    <col min="10750" max="10750" width="23.5703125" style="64" customWidth="1"/>
    <col min="10751" max="10751" width="19.7109375" style="64" customWidth="1"/>
    <col min="10752" max="10752" width="16.42578125" style="64" customWidth="1"/>
    <col min="10753" max="10753" width="16.28515625" style="64" customWidth="1"/>
    <col min="10754" max="10754" width="13.7109375" style="64" customWidth="1"/>
    <col min="10755" max="10755" width="12.7109375" style="64" customWidth="1"/>
    <col min="10756" max="11005" width="9.140625" style="64"/>
    <col min="11006" max="11006" width="23.5703125" style="64" customWidth="1"/>
    <col min="11007" max="11007" width="19.7109375" style="64" customWidth="1"/>
    <col min="11008" max="11008" width="16.42578125" style="64" customWidth="1"/>
    <col min="11009" max="11009" width="16.28515625" style="64" customWidth="1"/>
    <col min="11010" max="11010" width="13.7109375" style="64" customWidth="1"/>
    <col min="11011" max="11011" width="12.7109375" style="64" customWidth="1"/>
    <col min="11012" max="11261" width="9.140625" style="64"/>
    <col min="11262" max="11262" width="23.5703125" style="64" customWidth="1"/>
    <col min="11263" max="11263" width="19.7109375" style="64" customWidth="1"/>
    <col min="11264" max="11264" width="16.42578125" style="64" customWidth="1"/>
    <col min="11265" max="11265" width="16.28515625" style="64" customWidth="1"/>
    <col min="11266" max="11266" width="13.7109375" style="64" customWidth="1"/>
    <col min="11267" max="11267" width="12.7109375" style="64" customWidth="1"/>
    <col min="11268" max="11517" width="9.140625" style="64"/>
    <col min="11518" max="11518" width="23.5703125" style="64" customWidth="1"/>
    <col min="11519" max="11519" width="19.7109375" style="64" customWidth="1"/>
    <col min="11520" max="11520" width="16.42578125" style="64" customWidth="1"/>
    <col min="11521" max="11521" width="16.28515625" style="64" customWidth="1"/>
    <col min="11522" max="11522" width="13.7109375" style="64" customWidth="1"/>
    <col min="11523" max="11523" width="12.7109375" style="64" customWidth="1"/>
    <col min="11524" max="11773" width="9.140625" style="64"/>
    <col min="11774" max="11774" width="23.5703125" style="64" customWidth="1"/>
    <col min="11775" max="11775" width="19.7109375" style="64" customWidth="1"/>
    <col min="11776" max="11776" width="16.42578125" style="64" customWidth="1"/>
    <col min="11777" max="11777" width="16.28515625" style="64" customWidth="1"/>
    <col min="11778" max="11778" width="13.7109375" style="64" customWidth="1"/>
    <col min="11779" max="11779" width="12.7109375" style="64" customWidth="1"/>
    <col min="11780" max="12029" width="9.140625" style="64"/>
    <col min="12030" max="12030" width="23.5703125" style="64" customWidth="1"/>
    <col min="12031" max="12031" width="19.7109375" style="64" customWidth="1"/>
    <col min="12032" max="12032" width="16.42578125" style="64" customWidth="1"/>
    <col min="12033" max="12033" width="16.28515625" style="64" customWidth="1"/>
    <col min="12034" max="12034" width="13.7109375" style="64" customWidth="1"/>
    <col min="12035" max="12035" width="12.7109375" style="64" customWidth="1"/>
    <col min="12036" max="12285" width="9.140625" style="64"/>
    <col min="12286" max="12286" width="23.5703125" style="64" customWidth="1"/>
    <col min="12287" max="12287" width="19.7109375" style="64" customWidth="1"/>
    <col min="12288" max="12288" width="16.42578125" style="64" customWidth="1"/>
    <col min="12289" max="12289" width="16.28515625" style="64" customWidth="1"/>
    <col min="12290" max="12290" width="13.7109375" style="64" customWidth="1"/>
    <col min="12291" max="12291" width="12.7109375" style="64" customWidth="1"/>
    <col min="12292" max="12541" width="9.140625" style="64"/>
    <col min="12542" max="12542" width="23.5703125" style="64" customWidth="1"/>
    <col min="12543" max="12543" width="19.7109375" style="64" customWidth="1"/>
    <col min="12544" max="12544" width="16.42578125" style="64" customWidth="1"/>
    <col min="12545" max="12545" width="16.28515625" style="64" customWidth="1"/>
    <col min="12546" max="12546" width="13.7109375" style="64" customWidth="1"/>
    <col min="12547" max="12547" width="12.7109375" style="64" customWidth="1"/>
    <col min="12548" max="12797" width="9.140625" style="64"/>
    <col min="12798" max="12798" width="23.5703125" style="64" customWidth="1"/>
    <col min="12799" max="12799" width="19.7109375" style="64" customWidth="1"/>
    <col min="12800" max="12800" width="16.42578125" style="64" customWidth="1"/>
    <col min="12801" max="12801" width="16.28515625" style="64" customWidth="1"/>
    <col min="12802" max="12802" width="13.7109375" style="64" customWidth="1"/>
    <col min="12803" max="12803" width="12.7109375" style="64" customWidth="1"/>
    <col min="12804" max="13053" width="9.140625" style="64"/>
    <col min="13054" max="13054" width="23.5703125" style="64" customWidth="1"/>
    <col min="13055" max="13055" width="19.7109375" style="64" customWidth="1"/>
    <col min="13056" max="13056" width="16.42578125" style="64" customWidth="1"/>
    <col min="13057" max="13057" width="16.28515625" style="64" customWidth="1"/>
    <col min="13058" max="13058" width="13.7109375" style="64" customWidth="1"/>
    <col min="13059" max="13059" width="12.7109375" style="64" customWidth="1"/>
    <col min="13060" max="13309" width="9.140625" style="64"/>
    <col min="13310" max="13310" width="23.5703125" style="64" customWidth="1"/>
    <col min="13311" max="13311" width="19.7109375" style="64" customWidth="1"/>
    <col min="13312" max="13312" width="16.42578125" style="64" customWidth="1"/>
    <col min="13313" max="13313" width="16.28515625" style="64" customWidth="1"/>
    <col min="13314" max="13314" width="13.7109375" style="64" customWidth="1"/>
    <col min="13315" max="13315" width="12.7109375" style="64" customWidth="1"/>
    <col min="13316" max="13565" width="9.140625" style="64"/>
    <col min="13566" max="13566" width="23.5703125" style="64" customWidth="1"/>
    <col min="13567" max="13567" width="19.7109375" style="64" customWidth="1"/>
    <col min="13568" max="13568" width="16.42578125" style="64" customWidth="1"/>
    <col min="13569" max="13569" width="16.28515625" style="64" customWidth="1"/>
    <col min="13570" max="13570" width="13.7109375" style="64" customWidth="1"/>
    <col min="13571" max="13571" width="12.7109375" style="64" customWidth="1"/>
    <col min="13572" max="13821" width="9.140625" style="64"/>
    <col min="13822" max="13822" width="23.5703125" style="64" customWidth="1"/>
    <col min="13823" max="13823" width="19.7109375" style="64" customWidth="1"/>
    <col min="13824" max="13824" width="16.42578125" style="64" customWidth="1"/>
    <col min="13825" max="13825" width="16.28515625" style="64" customWidth="1"/>
    <col min="13826" max="13826" width="13.7109375" style="64" customWidth="1"/>
    <col min="13827" max="13827" width="12.7109375" style="64" customWidth="1"/>
    <col min="13828" max="14077" width="9.140625" style="64"/>
    <col min="14078" max="14078" width="23.5703125" style="64" customWidth="1"/>
    <col min="14079" max="14079" width="19.7109375" style="64" customWidth="1"/>
    <col min="14080" max="14080" width="16.42578125" style="64" customWidth="1"/>
    <col min="14081" max="14081" width="16.28515625" style="64" customWidth="1"/>
    <col min="14082" max="14082" width="13.7109375" style="64" customWidth="1"/>
    <col min="14083" max="14083" width="12.7109375" style="64" customWidth="1"/>
    <col min="14084" max="14333" width="9.140625" style="64"/>
    <col min="14334" max="14334" width="23.5703125" style="64" customWidth="1"/>
    <col min="14335" max="14335" width="19.7109375" style="64" customWidth="1"/>
    <col min="14336" max="14336" width="16.42578125" style="64" customWidth="1"/>
    <col min="14337" max="14337" width="16.28515625" style="64" customWidth="1"/>
    <col min="14338" max="14338" width="13.7109375" style="64" customWidth="1"/>
    <col min="14339" max="14339" width="12.7109375" style="64" customWidth="1"/>
    <col min="14340" max="14589" width="9.140625" style="64"/>
    <col min="14590" max="14590" width="23.5703125" style="64" customWidth="1"/>
    <col min="14591" max="14591" width="19.7109375" style="64" customWidth="1"/>
    <col min="14592" max="14592" width="16.42578125" style="64" customWidth="1"/>
    <col min="14593" max="14593" width="16.28515625" style="64" customWidth="1"/>
    <col min="14594" max="14594" width="13.7109375" style="64" customWidth="1"/>
    <col min="14595" max="14595" width="12.7109375" style="64" customWidth="1"/>
    <col min="14596" max="14845" width="9.140625" style="64"/>
    <col min="14846" max="14846" width="23.5703125" style="64" customWidth="1"/>
    <col min="14847" max="14847" width="19.7109375" style="64" customWidth="1"/>
    <col min="14848" max="14848" width="16.42578125" style="64" customWidth="1"/>
    <col min="14849" max="14849" width="16.28515625" style="64" customWidth="1"/>
    <col min="14850" max="14850" width="13.7109375" style="64" customWidth="1"/>
    <col min="14851" max="14851" width="12.7109375" style="64" customWidth="1"/>
    <col min="14852" max="15101" width="9.140625" style="64"/>
    <col min="15102" max="15102" width="23.5703125" style="64" customWidth="1"/>
    <col min="15103" max="15103" width="19.7109375" style="64" customWidth="1"/>
    <col min="15104" max="15104" width="16.42578125" style="64" customWidth="1"/>
    <col min="15105" max="15105" width="16.28515625" style="64" customWidth="1"/>
    <col min="15106" max="15106" width="13.7109375" style="64" customWidth="1"/>
    <col min="15107" max="15107" width="12.7109375" style="64" customWidth="1"/>
    <col min="15108" max="15357" width="9.140625" style="64"/>
    <col min="15358" max="15358" width="23.5703125" style="64" customWidth="1"/>
    <col min="15359" max="15359" width="19.7109375" style="64" customWidth="1"/>
    <col min="15360" max="15360" width="16.42578125" style="64" customWidth="1"/>
    <col min="15361" max="15361" width="16.28515625" style="64" customWidth="1"/>
    <col min="15362" max="15362" width="13.7109375" style="64" customWidth="1"/>
    <col min="15363" max="15363" width="12.7109375" style="64" customWidth="1"/>
    <col min="15364" max="15613" width="9.140625" style="64"/>
    <col min="15614" max="15614" width="23.5703125" style="64" customWidth="1"/>
    <col min="15615" max="15615" width="19.7109375" style="64" customWidth="1"/>
    <col min="15616" max="15616" width="16.42578125" style="64" customWidth="1"/>
    <col min="15617" max="15617" width="16.28515625" style="64" customWidth="1"/>
    <col min="15618" max="15618" width="13.7109375" style="64" customWidth="1"/>
    <col min="15619" max="15619" width="12.7109375" style="64" customWidth="1"/>
    <col min="15620" max="15869" width="9.140625" style="64"/>
    <col min="15870" max="15870" width="23.5703125" style="64" customWidth="1"/>
    <col min="15871" max="15871" width="19.7109375" style="64" customWidth="1"/>
    <col min="15872" max="15872" width="16.42578125" style="64" customWidth="1"/>
    <col min="15873" max="15873" width="16.28515625" style="64" customWidth="1"/>
    <col min="15874" max="15874" width="13.7109375" style="64" customWidth="1"/>
    <col min="15875" max="15875" width="12.7109375" style="64" customWidth="1"/>
    <col min="15876" max="16125" width="9.140625" style="64"/>
    <col min="16126" max="16126" width="23.5703125" style="64" customWidth="1"/>
    <col min="16127" max="16127" width="19.7109375" style="64" customWidth="1"/>
    <col min="16128" max="16128" width="16.42578125" style="64" customWidth="1"/>
    <col min="16129" max="16129" width="16.28515625" style="64" customWidth="1"/>
    <col min="16130" max="16130" width="13.7109375" style="64" customWidth="1"/>
    <col min="16131" max="16131" width="12.7109375" style="64" customWidth="1"/>
    <col min="16132" max="16380" width="9.140625" style="64"/>
    <col min="16381" max="16384" width="9.140625" style="64" customWidth="1"/>
  </cols>
  <sheetData>
    <row r="1" spans="1:9" x14ac:dyDescent="0.2">
      <c r="A1" s="448" t="s">
        <v>419</v>
      </c>
      <c r="B1" s="125"/>
      <c r="C1" s="126"/>
      <c r="D1" s="126"/>
    </row>
    <row r="2" spans="1:9" x14ac:dyDescent="0.2">
      <c r="A2" s="126"/>
      <c r="B2" s="126"/>
      <c r="C2" s="126"/>
      <c r="D2" s="126"/>
    </row>
    <row r="3" spans="1:9" ht="73.5" customHeight="1" x14ac:dyDescent="0.2">
      <c r="A3" s="227" t="s">
        <v>277</v>
      </c>
      <c r="B3" s="228" t="s">
        <v>441</v>
      </c>
      <c r="C3" s="228" t="s">
        <v>55</v>
      </c>
      <c r="D3" s="450" t="s">
        <v>340</v>
      </c>
      <c r="E3" s="454" t="s">
        <v>380</v>
      </c>
      <c r="F3" s="454" t="s">
        <v>381</v>
      </c>
      <c r="G3" s="454" t="s">
        <v>465</v>
      </c>
    </row>
    <row r="4" spans="1:9" s="123" customFormat="1" x14ac:dyDescent="0.2">
      <c r="A4" s="226" t="str">
        <f>Подписка!A8</f>
        <v>МАДОУ ЦРР-детский сад № 2</v>
      </c>
      <c r="B4" s="224">
        <v>9845700</v>
      </c>
      <c r="C4" s="225">
        <v>2.1999999999999999E-2</v>
      </c>
      <c r="D4" s="451">
        <f>ROUND(B4*C4,0)</f>
        <v>216605</v>
      </c>
      <c r="E4" s="102">
        <f>D4</f>
        <v>216605</v>
      </c>
      <c r="F4" s="229">
        <f t="shared" ref="F4:F12" si="0">D4</f>
        <v>216605</v>
      </c>
      <c r="G4" s="229">
        <f>F4</f>
        <v>216605</v>
      </c>
      <c r="H4" s="355"/>
      <c r="I4" s="355"/>
    </row>
    <row r="5" spans="1:9" s="123" customFormat="1" x14ac:dyDescent="0.2">
      <c r="A5" s="226" t="str">
        <f>Подписка!A9</f>
        <v>МАДОУ ЦРР-детский сад № 11</v>
      </c>
      <c r="B5" s="224">
        <v>116095812</v>
      </c>
      <c r="C5" s="225">
        <v>2.1999999999999999E-2</v>
      </c>
      <c r="D5" s="451">
        <f t="shared" ref="D5:D12" si="1">ROUND(B5*C5,0)</f>
        <v>2554108</v>
      </c>
      <c r="E5" s="102">
        <f t="shared" ref="E5:E12" si="2">D5</f>
        <v>2554108</v>
      </c>
      <c r="F5" s="229">
        <f t="shared" si="0"/>
        <v>2554108</v>
      </c>
      <c r="G5" s="229">
        <f t="shared" ref="G5:G12" si="3">F5</f>
        <v>2554108</v>
      </c>
      <c r="H5" s="354"/>
      <c r="I5" s="354"/>
    </row>
    <row r="6" spans="1:9" s="123" customFormat="1" x14ac:dyDescent="0.2">
      <c r="A6" s="226" t="str">
        <f>Подписка!A10</f>
        <v>МАДОУ ЦРР-детский сад № 13</v>
      </c>
      <c r="B6" s="224">
        <v>6997968</v>
      </c>
      <c r="C6" s="225">
        <v>2.1999999999999999E-2</v>
      </c>
      <c r="D6" s="451">
        <f t="shared" si="1"/>
        <v>153955</v>
      </c>
      <c r="E6" s="102">
        <f t="shared" si="2"/>
        <v>153955</v>
      </c>
      <c r="F6" s="229">
        <f t="shared" si="0"/>
        <v>153955</v>
      </c>
      <c r="G6" s="229">
        <f t="shared" si="3"/>
        <v>153955</v>
      </c>
      <c r="H6" s="355"/>
      <c r="I6" s="355"/>
    </row>
    <row r="7" spans="1:9" s="123" customFormat="1" ht="25.5" x14ac:dyDescent="0.2">
      <c r="A7" s="226" t="str">
        <f>Подписка!A11</f>
        <v>МАОУ СОШ № 1 структурное подразделение</v>
      </c>
      <c r="B7" s="224">
        <v>8470863</v>
      </c>
      <c r="C7" s="225">
        <v>2.1999999999999999E-2</v>
      </c>
      <c r="D7" s="451">
        <f t="shared" si="1"/>
        <v>186359</v>
      </c>
      <c r="E7" s="102">
        <f t="shared" si="2"/>
        <v>186359</v>
      </c>
      <c r="F7" s="229">
        <f t="shared" si="0"/>
        <v>186359</v>
      </c>
      <c r="G7" s="229">
        <f t="shared" si="3"/>
        <v>186359</v>
      </c>
      <c r="H7" s="355"/>
      <c r="I7" s="355"/>
    </row>
    <row r="8" spans="1:9" s="123" customFormat="1" ht="27.6" customHeight="1" x14ac:dyDescent="0.2">
      <c r="A8" s="226" t="str">
        <f>Подписка!A12</f>
        <v>МАОУ СОШ № 2 им.М.И.Грибушина структурное подразделение</v>
      </c>
      <c r="B8" s="224">
        <v>2481566</v>
      </c>
      <c r="C8" s="225">
        <v>2.1999999999999999E-2</v>
      </c>
      <c r="D8" s="451">
        <f t="shared" si="1"/>
        <v>54594</v>
      </c>
      <c r="E8" s="102">
        <f t="shared" si="2"/>
        <v>54594</v>
      </c>
      <c r="F8" s="229">
        <f t="shared" si="0"/>
        <v>54594</v>
      </c>
      <c r="G8" s="229">
        <f t="shared" si="3"/>
        <v>54594</v>
      </c>
      <c r="H8" s="355"/>
      <c r="I8" s="355"/>
    </row>
    <row r="9" spans="1:9" s="123" customFormat="1" ht="25.5" x14ac:dyDescent="0.2">
      <c r="A9" s="226" t="str">
        <f>Подписка!A13</f>
        <v>МАОУ СОШ № 10 структурное подразделение</v>
      </c>
      <c r="B9" s="224">
        <v>2612238</v>
      </c>
      <c r="C9" s="225">
        <v>2.1999999999999999E-2</v>
      </c>
      <c r="D9" s="451">
        <f t="shared" si="1"/>
        <v>57469</v>
      </c>
      <c r="E9" s="102">
        <f t="shared" si="2"/>
        <v>57469</v>
      </c>
      <c r="F9" s="229">
        <f t="shared" si="0"/>
        <v>57469</v>
      </c>
      <c r="G9" s="229">
        <f t="shared" si="3"/>
        <v>57469</v>
      </c>
      <c r="H9" s="355"/>
      <c r="I9" s="355"/>
    </row>
    <row r="10" spans="1:9" s="123" customFormat="1" ht="25.5" x14ac:dyDescent="0.2">
      <c r="A10" s="226" t="str">
        <f>Подписка!A14</f>
        <v>МАОУ СОШ № 13 структурное подразделение</v>
      </c>
      <c r="B10" s="224">
        <v>13603654</v>
      </c>
      <c r="C10" s="225">
        <v>2.1999999999999999E-2</v>
      </c>
      <c r="D10" s="451">
        <f t="shared" si="1"/>
        <v>299280</v>
      </c>
      <c r="E10" s="102">
        <f t="shared" si="2"/>
        <v>299280</v>
      </c>
      <c r="F10" s="229">
        <f t="shared" si="0"/>
        <v>299280</v>
      </c>
      <c r="G10" s="229">
        <f t="shared" si="3"/>
        <v>299280</v>
      </c>
    </row>
    <row r="11" spans="1:9" s="123" customFormat="1" ht="25.5" x14ac:dyDescent="0.2">
      <c r="A11" s="226" t="str">
        <f>Подписка!A15</f>
        <v>Гимназия № 16 структурное подразделение</v>
      </c>
      <c r="B11" s="224">
        <v>7465819</v>
      </c>
      <c r="C11" s="225">
        <v>2.1999999999999999E-2</v>
      </c>
      <c r="D11" s="451">
        <f t="shared" si="1"/>
        <v>164248</v>
      </c>
      <c r="E11" s="102">
        <f t="shared" si="2"/>
        <v>164248</v>
      </c>
      <c r="F11" s="229">
        <f t="shared" si="0"/>
        <v>164248</v>
      </c>
      <c r="G11" s="229">
        <f t="shared" si="3"/>
        <v>164248</v>
      </c>
    </row>
    <row r="12" spans="1:9" s="123" customFormat="1" ht="25.5" x14ac:dyDescent="0.2">
      <c r="A12" s="226" t="str">
        <f>Подписка!A16</f>
        <v>МАОУ ООШ № 17 с кадетскими классами структурное подразделение</v>
      </c>
      <c r="B12" s="224">
        <v>0</v>
      </c>
      <c r="C12" s="225">
        <v>2.1999999999999999E-2</v>
      </c>
      <c r="D12" s="451">
        <f t="shared" si="1"/>
        <v>0</v>
      </c>
      <c r="E12" s="102">
        <f t="shared" si="2"/>
        <v>0</v>
      </c>
      <c r="F12" s="229">
        <f t="shared" si="0"/>
        <v>0</v>
      </c>
      <c r="G12" s="229">
        <f t="shared" si="3"/>
        <v>0</v>
      </c>
    </row>
    <row r="13" spans="1:9" s="126" customFormat="1" x14ac:dyDescent="0.2">
      <c r="A13" s="128" t="s">
        <v>1</v>
      </c>
      <c r="B13" s="129">
        <f>SUM(B4:B12)</f>
        <v>167573620</v>
      </c>
      <c r="C13" s="130"/>
      <c r="D13" s="129">
        <f>SUM(D4:D12)</f>
        <v>3686618</v>
      </c>
      <c r="E13" s="129">
        <f>SUM(E4:E12)</f>
        <v>3686618</v>
      </c>
      <c r="F13" s="129">
        <f>SUM(F4:F12)</f>
        <v>3686618</v>
      </c>
      <c r="G13" s="129">
        <f>SUM(G4:G12)</f>
        <v>3686618</v>
      </c>
    </row>
    <row r="14" spans="1:9" s="126" customFormat="1" x14ac:dyDescent="0.2"/>
    <row r="15" spans="1:9" s="126" customFormat="1" x14ac:dyDescent="0.2"/>
  </sheetData>
  <pageMargins left="0.75" right="0.75" top="1" bottom="1" header="0.5" footer="0.5"/>
  <pageSetup paperSize="9" scale="66" orientation="portrait" horizontalDpi="1200" verticalDpi="1200" r:id="rId1"/>
  <headerFooter alignWithMargins="0"/>
  <colBreaks count="1" manualBreakCount="1">
    <brk id="7" max="1048575" man="1"/>
  </colBreaks>
  <ignoredErrors>
    <ignoredError sqref="F5:F12" formula="1"/>
  </ignoredError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/>
  <dimension ref="A1:I28"/>
  <sheetViews>
    <sheetView zoomScale="110" zoomScaleNormal="110" workbookViewId="0">
      <pane xSplit="1" ySplit="3" topLeftCell="B4" activePane="bottomRight" state="frozen"/>
      <selection activeCell="I22" sqref="I22"/>
      <selection pane="topRight" activeCell="I22" sqref="I22"/>
      <selection pane="bottomLeft" activeCell="I22" sqref="I22"/>
      <selection pane="bottomRight" activeCell="I22" sqref="I22"/>
    </sheetView>
  </sheetViews>
  <sheetFormatPr defaultRowHeight="12.75" x14ac:dyDescent="0.2"/>
  <cols>
    <col min="1" max="1" width="38" style="64" customWidth="1"/>
    <col min="2" max="2" width="18.42578125" style="64" customWidth="1"/>
    <col min="3" max="3" width="22.5703125" style="64" bestFit="1" customWidth="1"/>
    <col min="4" max="4" width="15" style="64" customWidth="1"/>
    <col min="5" max="5" width="12.140625" style="64" customWidth="1"/>
    <col min="6" max="6" width="14.28515625" style="64" customWidth="1"/>
    <col min="7" max="7" width="14.7109375" style="64" customWidth="1"/>
    <col min="8" max="8" width="2" style="64" customWidth="1"/>
    <col min="9" max="256" width="9.140625" style="64"/>
    <col min="257" max="257" width="18" style="64" customWidth="1"/>
    <col min="258" max="258" width="18.42578125" style="64" customWidth="1"/>
    <col min="259" max="259" width="15" style="64" customWidth="1"/>
    <col min="260" max="260" width="12.140625" style="64" customWidth="1"/>
    <col min="261" max="261" width="14.28515625" style="64" customWidth="1"/>
    <col min="262" max="263" width="14.7109375" style="64" customWidth="1"/>
    <col min="264" max="512" width="9.140625" style="64"/>
    <col min="513" max="513" width="18" style="64" customWidth="1"/>
    <col min="514" max="514" width="18.42578125" style="64" customWidth="1"/>
    <col min="515" max="515" width="15" style="64" customWidth="1"/>
    <col min="516" max="516" width="12.140625" style="64" customWidth="1"/>
    <col min="517" max="517" width="14.28515625" style="64" customWidth="1"/>
    <col min="518" max="519" width="14.7109375" style="64" customWidth="1"/>
    <col min="520" max="768" width="9.140625" style="64"/>
    <col min="769" max="769" width="18" style="64" customWidth="1"/>
    <col min="770" max="770" width="18.42578125" style="64" customWidth="1"/>
    <col min="771" max="771" width="15" style="64" customWidth="1"/>
    <col min="772" max="772" width="12.140625" style="64" customWidth="1"/>
    <col min="773" max="773" width="14.28515625" style="64" customWidth="1"/>
    <col min="774" max="775" width="14.7109375" style="64" customWidth="1"/>
    <col min="776" max="1024" width="9.140625" style="64"/>
    <col min="1025" max="1025" width="18" style="64" customWidth="1"/>
    <col min="1026" max="1026" width="18.42578125" style="64" customWidth="1"/>
    <col min="1027" max="1027" width="15" style="64" customWidth="1"/>
    <col min="1028" max="1028" width="12.140625" style="64" customWidth="1"/>
    <col min="1029" max="1029" width="14.28515625" style="64" customWidth="1"/>
    <col min="1030" max="1031" width="14.7109375" style="64" customWidth="1"/>
    <col min="1032" max="1280" width="9.140625" style="64"/>
    <col min="1281" max="1281" width="18" style="64" customWidth="1"/>
    <col min="1282" max="1282" width="18.42578125" style="64" customWidth="1"/>
    <col min="1283" max="1283" width="15" style="64" customWidth="1"/>
    <col min="1284" max="1284" width="12.140625" style="64" customWidth="1"/>
    <col min="1285" max="1285" width="14.28515625" style="64" customWidth="1"/>
    <col min="1286" max="1287" width="14.7109375" style="64" customWidth="1"/>
    <col min="1288" max="1536" width="9.140625" style="64"/>
    <col min="1537" max="1537" width="18" style="64" customWidth="1"/>
    <col min="1538" max="1538" width="18.42578125" style="64" customWidth="1"/>
    <col min="1539" max="1539" width="15" style="64" customWidth="1"/>
    <col min="1540" max="1540" width="12.140625" style="64" customWidth="1"/>
    <col min="1541" max="1541" width="14.28515625" style="64" customWidth="1"/>
    <col min="1542" max="1543" width="14.7109375" style="64" customWidth="1"/>
    <col min="1544" max="1792" width="9.140625" style="64"/>
    <col min="1793" max="1793" width="18" style="64" customWidth="1"/>
    <col min="1794" max="1794" width="18.42578125" style="64" customWidth="1"/>
    <col min="1795" max="1795" width="15" style="64" customWidth="1"/>
    <col min="1796" max="1796" width="12.140625" style="64" customWidth="1"/>
    <col min="1797" max="1797" width="14.28515625" style="64" customWidth="1"/>
    <col min="1798" max="1799" width="14.7109375" style="64" customWidth="1"/>
    <col min="1800" max="2048" width="9.140625" style="64"/>
    <col min="2049" max="2049" width="18" style="64" customWidth="1"/>
    <col min="2050" max="2050" width="18.42578125" style="64" customWidth="1"/>
    <col min="2051" max="2051" width="15" style="64" customWidth="1"/>
    <col min="2052" max="2052" width="12.140625" style="64" customWidth="1"/>
    <col min="2053" max="2053" width="14.28515625" style="64" customWidth="1"/>
    <col min="2054" max="2055" width="14.7109375" style="64" customWidth="1"/>
    <col min="2056" max="2304" width="9.140625" style="64"/>
    <col min="2305" max="2305" width="18" style="64" customWidth="1"/>
    <col min="2306" max="2306" width="18.42578125" style="64" customWidth="1"/>
    <col min="2307" max="2307" width="15" style="64" customWidth="1"/>
    <col min="2308" max="2308" width="12.140625" style="64" customWidth="1"/>
    <col min="2309" max="2309" width="14.28515625" style="64" customWidth="1"/>
    <col min="2310" max="2311" width="14.7109375" style="64" customWidth="1"/>
    <col min="2312" max="2560" width="9.140625" style="64"/>
    <col min="2561" max="2561" width="18" style="64" customWidth="1"/>
    <col min="2562" max="2562" width="18.42578125" style="64" customWidth="1"/>
    <col min="2563" max="2563" width="15" style="64" customWidth="1"/>
    <col min="2564" max="2564" width="12.140625" style="64" customWidth="1"/>
    <col min="2565" max="2565" width="14.28515625" style="64" customWidth="1"/>
    <col min="2566" max="2567" width="14.7109375" style="64" customWidth="1"/>
    <col min="2568" max="2816" width="9.140625" style="64"/>
    <col min="2817" max="2817" width="18" style="64" customWidth="1"/>
    <col min="2818" max="2818" width="18.42578125" style="64" customWidth="1"/>
    <col min="2819" max="2819" width="15" style="64" customWidth="1"/>
    <col min="2820" max="2820" width="12.140625" style="64" customWidth="1"/>
    <col min="2821" max="2821" width="14.28515625" style="64" customWidth="1"/>
    <col min="2822" max="2823" width="14.7109375" style="64" customWidth="1"/>
    <col min="2824" max="3072" width="9.140625" style="64"/>
    <col min="3073" max="3073" width="18" style="64" customWidth="1"/>
    <col min="3074" max="3074" width="18.42578125" style="64" customWidth="1"/>
    <col min="3075" max="3075" width="15" style="64" customWidth="1"/>
    <col min="3076" max="3076" width="12.140625" style="64" customWidth="1"/>
    <col min="3077" max="3077" width="14.28515625" style="64" customWidth="1"/>
    <col min="3078" max="3079" width="14.7109375" style="64" customWidth="1"/>
    <col min="3080" max="3328" width="9.140625" style="64"/>
    <col min="3329" max="3329" width="18" style="64" customWidth="1"/>
    <col min="3330" max="3330" width="18.42578125" style="64" customWidth="1"/>
    <col min="3331" max="3331" width="15" style="64" customWidth="1"/>
    <col min="3332" max="3332" width="12.140625" style="64" customWidth="1"/>
    <col min="3333" max="3333" width="14.28515625" style="64" customWidth="1"/>
    <col min="3334" max="3335" width="14.7109375" style="64" customWidth="1"/>
    <col min="3336" max="3584" width="9.140625" style="64"/>
    <col min="3585" max="3585" width="18" style="64" customWidth="1"/>
    <col min="3586" max="3586" width="18.42578125" style="64" customWidth="1"/>
    <col min="3587" max="3587" width="15" style="64" customWidth="1"/>
    <col min="3588" max="3588" width="12.140625" style="64" customWidth="1"/>
    <col min="3589" max="3589" width="14.28515625" style="64" customWidth="1"/>
    <col min="3590" max="3591" width="14.7109375" style="64" customWidth="1"/>
    <col min="3592" max="3840" width="9.140625" style="64"/>
    <col min="3841" max="3841" width="18" style="64" customWidth="1"/>
    <col min="3842" max="3842" width="18.42578125" style="64" customWidth="1"/>
    <col min="3843" max="3843" width="15" style="64" customWidth="1"/>
    <col min="3844" max="3844" width="12.140625" style="64" customWidth="1"/>
    <col min="3845" max="3845" width="14.28515625" style="64" customWidth="1"/>
    <col min="3846" max="3847" width="14.7109375" style="64" customWidth="1"/>
    <col min="3848" max="4096" width="9.140625" style="64"/>
    <col min="4097" max="4097" width="18" style="64" customWidth="1"/>
    <col min="4098" max="4098" width="18.42578125" style="64" customWidth="1"/>
    <col min="4099" max="4099" width="15" style="64" customWidth="1"/>
    <col min="4100" max="4100" width="12.140625" style="64" customWidth="1"/>
    <col min="4101" max="4101" width="14.28515625" style="64" customWidth="1"/>
    <col min="4102" max="4103" width="14.7109375" style="64" customWidth="1"/>
    <col min="4104" max="4352" width="9.140625" style="64"/>
    <col min="4353" max="4353" width="18" style="64" customWidth="1"/>
    <col min="4354" max="4354" width="18.42578125" style="64" customWidth="1"/>
    <col min="4355" max="4355" width="15" style="64" customWidth="1"/>
    <col min="4356" max="4356" width="12.140625" style="64" customWidth="1"/>
    <col min="4357" max="4357" width="14.28515625" style="64" customWidth="1"/>
    <col min="4358" max="4359" width="14.7109375" style="64" customWidth="1"/>
    <col min="4360" max="4608" width="9.140625" style="64"/>
    <col min="4609" max="4609" width="18" style="64" customWidth="1"/>
    <col min="4610" max="4610" width="18.42578125" style="64" customWidth="1"/>
    <col min="4611" max="4611" width="15" style="64" customWidth="1"/>
    <col min="4612" max="4612" width="12.140625" style="64" customWidth="1"/>
    <col min="4613" max="4613" width="14.28515625" style="64" customWidth="1"/>
    <col min="4614" max="4615" width="14.7109375" style="64" customWidth="1"/>
    <col min="4616" max="4864" width="9.140625" style="64"/>
    <col min="4865" max="4865" width="18" style="64" customWidth="1"/>
    <col min="4866" max="4866" width="18.42578125" style="64" customWidth="1"/>
    <col min="4867" max="4867" width="15" style="64" customWidth="1"/>
    <col min="4868" max="4868" width="12.140625" style="64" customWidth="1"/>
    <col min="4869" max="4869" width="14.28515625" style="64" customWidth="1"/>
    <col min="4870" max="4871" width="14.7109375" style="64" customWidth="1"/>
    <col min="4872" max="5120" width="9.140625" style="64"/>
    <col min="5121" max="5121" width="18" style="64" customWidth="1"/>
    <col min="5122" max="5122" width="18.42578125" style="64" customWidth="1"/>
    <col min="5123" max="5123" width="15" style="64" customWidth="1"/>
    <col min="5124" max="5124" width="12.140625" style="64" customWidth="1"/>
    <col min="5125" max="5125" width="14.28515625" style="64" customWidth="1"/>
    <col min="5126" max="5127" width="14.7109375" style="64" customWidth="1"/>
    <col min="5128" max="5376" width="9.140625" style="64"/>
    <col min="5377" max="5377" width="18" style="64" customWidth="1"/>
    <col min="5378" max="5378" width="18.42578125" style="64" customWidth="1"/>
    <col min="5379" max="5379" width="15" style="64" customWidth="1"/>
    <col min="5380" max="5380" width="12.140625" style="64" customWidth="1"/>
    <col min="5381" max="5381" width="14.28515625" style="64" customWidth="1"/>
    <col min="5382" max="5383" width="14.7109375" style="64" customWidth="1"/>
    <col min="5384" max="5632" width="9.140625" style="64"/>
    <col min="5633" max="5633" width="18" style="64" customWidth="1"/>
    <col min="5634" max="5634" width="18.42578125" style="64" customWidth="1"/>
    <col min="5635" max="5635" width="15" style="64" customWidth="1"/>
    <col min="5636" max="5636" width="12.140625" style="64" customWidth="1"/>
    <col min="5637" max="5637" width="14.28515625" style="64" customWidth="1"/>
    <col min="5638" max="5639" width="14.7109375" style="64" customWidth="1"/>
    <col min="5640" max="5888" width="9.140625" style="64"/>
    <col min="5889" max="5889" width="18" style="64" customWidth="1"/>
    <col min="5890" max="5890" width="18.42578125" style="64" customWidth="1"/>
    <col min="5891" max="5891" width="15" style="64" customWidth="1"/>
    <col min="5892" max="5892" width="12.140625" style="64" customWidth="1"/>
    <col min="5893" max="5893" width="14.28515625" style="64" customWidth="1"/>
    <col min="5894" max="5895" width="14.7109375" style="64" customWidth="1"/>
    <col min="5896" max="6144" width="9.140625" style="64"/>
    <col min="6145" max="6145" width="18" style="64" customWidth="1"/>
    <col min="6146" max="6146" width="18.42578125" style="64" customWidth="1"/>
    <col min="6147" max="6147" width="15" style="64" customWidth="1"/>
    <col min="6148" max="6148" width="12.140625" style="64" customWidth="1"/>
    <col min="6149" max="6149" width="14.28515625" style="64" customWidth="1"/>
    <col min="6150" max="6151" width="14.7109375" style="64" customWidth="1"/>
    <col min="6152" max="6400" width="9.140625" style="64"/>
    <col min="6401" max="6401" width="18" style="64" customWidth="1"/>
    <col min="6402" max="6402" width="18.42578125" style="64" customWidth="1"/>
    <col min="6403" max="6403" width="15" style="64" customWidth="1"/>
    <col min="6404" max="6404" width="12.140625" style="64" customWidth="1"/>
    <col min="6405" max="6405" width="14.28515625" style="64" customWidth="1"/>
    <col min="6406" max="6407" width="14.7109375" style="64" customWidth="1"/>
    <col min="6408" max="6656" width="9.140625" style="64"/>
    <col min="6657" max="6657" width="18" style="64" customWidth="1"/>
    <col min="6658" max="6658" width="18.42578125" style="64" customWidth="1"/>
    <col min="6659" max="6659" width="15" style="64" customWidth="1"/>
    <col min="6660" max="6660" width="12.140625" style="64" customWidth="1"/>
    <col min="6661" max="6661" width="14.28515625" style="64" customWidth="1"/>
    <col min="6662" max="6663" width="14.7109375" style="64" customWidth="1"/>
    <col min="6664" max="6912" width="9.140625" style="64"/>
    <col min="6913" max="6913" width="18" style="64" customWidth="1"/>
    <col min="6914" max="6914" width="18.42578125" style="64" customWidth="1"/>
    <col min="6915" max="6915" width="15" style="64" customWidth="1"/>
    <col min="6916" max="6916" width="12.140625" style="64" customWidth="1"/>
    <col min="6917" max="6917" width="14.28515625" style="64" customWidth="1"/>
    <col min="6918" max="6919" width="14.7109375" style="64" customWidth="1"/>
    <col min="6920" max="7168" width="9.140625" style="64"/>
    <col min="7169" max="7169" width="18" style="64" customWidth="1"/>
    <col min="7170" max="7170" width="18.42578125" style="64" customWidth="1"/>
    <col min="7171" max="7171" width="15" style="64" customWidth="1"/>
    <col min="7172" max="7172" width="12.140625" style="64" customWidth="1"/>
    <col min="7173" max="7173" width="14.28515625" style="64" customWidth="1"/>
    <col min="7174" max="7175" width="14.7109375" style="64" customWidth="1"/>
    <col min="7176" max="7424" width="9.140625" style="64"/>
    <col min="7425" max="7425" width="18" style="64" customWidth="1"/>
    <col min="7426" max="7426" width="18.42578125" style="64" customWidth="1"/>
    <col min="7427" max="7427" width="15" style="64" customWidth="1"/>
    <col min="7428" max="7428" width="12.140625" style="64" customWidth="1"/>
    <col min="7429" max="7429" width="14.28515625" style="64" customWidth="1"/>
    <col min="7430" max="7431" width="14.7109375" style="64" customWidth="1"/>
    <col min="7432" max="7680" width="9.140625" style="64"/>
    <col min="7681" max="7681" width="18" style="64" customWidth="1"/>
    <col min="7682" max="7682" width="18.42578125" style="64" customWidth="1"/>
    <col min="7683" max="7683" width="15" style="64" customWidth="1"/>
    <col min="7684" max="7684" width="12.140625" style="64" customWidth="1"/>
    <col min="7685" max="7685" width="14.28515625" style="64" customWidth="1"/>
    <col min="7686" max="7687" width="14.7109375" style="64" customWidth="1"/>
    <col min="7688" max="7936" width="9.140625" style="64"/>
    <col min="7937" max="7937" width="18" style="64" customWidth="1"/>
    <col min="7938" max="7938" width="18.42578125" style="64" customWidth="1"/>
    <col min="7939" max="7939" width="15" style="64" customWidth="1"/>
    <col min="7940" max="7940" width="12.140625" style="64" customWidth="1"/>
    <col min="7941" max="7941" width="14.28515625" style="64" customWidth="1"/>
    <col min="7942" max="7943" width="14.7109375" style="64" customWidth="1"/>
    <col min="7944" max="8192" width="9.140625" style="64"/>
    <col min="8193" max="8193" width="18" style="64" customWidth="1"/>
    <col min="8194" max="8194" width="18.42578125" style="64" customWidth="1"/>
    <col min="8195" max="8195" width="15" style="64" customWidth="1"/>
    <col min="8196" max="8196" width="12.140625" style="64" customWidth="1"/>
    <col min="8197" max="8197" width="14.28515625" style="64" customWidth="1"/>
    <col min="8198" max="8199" width="14.7109375" style="64" customWidth="1"/>
    <col min="8200" max="8448" width="9.140625" style="64"/>
    <col min="8449" max="8449" width="18" style="64" customWidth="1"/>
    <col min="8450" max="8450" width="18.42578125" style="64" customWidth="1"/>
    <col min="8451" max="8451" width="15" style="64" customWidth="1"/>
    <col min="8452" max="8452" width="12.140625" style="64" customWidth="1"/>
    <col min="8453" max="8453" width="14.28515625" style="64" customWidth="1"/>
    <col min="8454" max="8455" width="14.7109375" style="64" customWidth="1"/>
    <col min="8456" max="8704" width="9.140625" style="64"/>
    <col min="8705" max="8705" width="18" style="64" customWidth="1"/>
    <col min="8706" max="8706" width="18.42578125" style="64" customWidth="1"/>
    <col min="8707" max="8707" width="15" style="64" customWidth="1"/>
    <col min="8708" max="8708" width="12.140625" style="64" customWidth="1"/>
    <col min="8709" max="8709" width="14.28515625" style="64" customWidth="1"/>
    <col min="8710" max="8711" width="14.7109375" style="64" customWidth="1"/>
    <col min="8712" max="8960" width="9.140625" style="64"/>
    <col min="8961" max="8961" width="18" style="64" customWidth="1"/>
    <col min="8962" max="8962" width="18.42578125" style="64" customWidth="1"/>
    <col min="8963" max="8963" width="15" style="64" customWidth="1"/>
    <col min="8964" max="8964" width="12.140625" style="64" customWidth="1"/>
    <col min="8965" max="8965" width="14.28515625" style="64" customWidth="1"/>
    <col min="8966" max="8967" width="14.7109375" style="64" customWidth="1"/>
    <col min="8968" max="9216" width="9.140625" style="64"/>
    <col min="9217" max="9217" width="18" style="64" customWidth="1"/>
    <col min="9218" max="9218" width="18.42578125" style="64" customWidth="1"/>
    <col min="9219" max="9219" width="15" style="64" customWidth="1"/>
    <col min="9220" max="9220" width="12.140625" style="64" customWidth="1"/>
    <col min="9221" max="9221" width="14.28515625" style="64" customWidth="1"/>
    <col min="9222" max="9223" width="14.7109375" style="64" customWidth="1"/>
    <col min="9224" max="9472" width="9.140625" style="64"/>
    <col min="9473" max="9473" width="18" style="64" customWidth="1"/>
    <col min="9474" max="9474" width="18.42578125" style="64" customWidth="1"/>
    <col min="9475" max="9475" width="15" style="64" customWidth="1"/>
    <col min="9476" max="9476" width="12.140625" style="64" customWidth="1"/>
    <col min="9477" max="9477" width="14.28515625" style="64" customWidth="1"/>
    <col min="9478" max="9479" width="14.7109375" style="64" customWidth="1"/>
    <col min="9480" max="9728" width="9.140625" style="64"/>
    <col min="9729" max="9729" width="18" style="64" customWidth="1"/>
    <col min="9730" max="9730" width="18.42578125" style="64" customWidth="1"/>
    <col min="9731" max="9731" width="15" style="64" customWidth="1"/>
    <col min="9732" max="9732" width="12.140625" style="64" customWidth="1"/>
    <col min="9733" max="9733" width="14.28515625" style="64" customWidth="1"/>
    <col min="9734" max="9735" width="14.7109375" style="64" customWidth="1"/>
    <col min="9736" max="9984" width="9.140625" style="64"/>
    <col min="9985" max="9985" width="18" style="64" customWidth="1"/>
    <col min="9986" max="9986" width="18.42578125" style="64" customWidth="1"/>
    <col min="9987" max="9987" width="15" style="64" customWidth="1"/>
    <col min="9988" max="9988" width="12.140625" style="64" customWidth="1"/>
    <col min="9989" max="9989" width="14.28515625" style="64" customWidth="1"/>
    <col min="9990" max="9991" width="14.7109375" style="64" customWidth="1"/>
    <col min="9992" max="10240" width="9.140625" style="64"/>
    <col min="10241" max="10241" width="18" style="64" customWidth="1"/>
    <col min="10242" max="10242" width="18.42578125" style="64" customWidth="1"/>
    <col min="10243" max="10243" width="15" style="64" customWidth="1"/>
    <col min="10244" max="10244" width="12.140625" style="64" customWidth="1"/>
    <col min="10245" max="10245" width="14.28515625" style="64" customWidth="1"/>
    <col min="10246" max="10247" width="14.7109375" style="64" customWidth="1"/>
    <col min="10248" max="10496" width="9.140625" style="64"/>
    <col min="10497" max="10497" width="18" style="64" customWidth="1"/>
    <col min="10498" max="10498" width="18.42578125" style="64" customWidth="1"/>
    <col min="10499" max="10499" width="15" style="64" customWidth="1"/>
    <col min="10500" max="10500" width="12.140625" style="64" customWidth="1"/>
    <col min="10501" max="10501" width="14.28515625" style="64" customWidth="1"/>
    <col min="10502" max="10503" width="14.7109375" style="64" customWidth="1"/>
    <col min="10504" max="10752" width="9.140625" style="64"/>
    <col min="10753" max="10753" width="18" style="64" customWidth="1"/>
    <col min="10754" max="10754" width="18.42578125" style="64" customWidth="1"/>
    <col min="10755" max="10755" width="15" style="64" customWidth="1"/>
    <col min="10756" max="10756" width="12.140625" style="64" customWidth="1"/>
    <col min="10757" max="10757" width="14.28515625" style="64" customWidth="1"/>
    <col min="10758" max="10759" width="14.7109375" style="64" customWidth="1"/>
    <col min="10760" max="11008" width="9.140625" style="64"/>
    <col min="11009" max="11009" width="18" style="64" customWidth="1"/>
    <col min="11010" max="11010" width="18.42578125" style="64" customWidth="1"/>
    <col min="11011" max="11011" width="15" style="64" customWidth="1"/>
    <col min="11012" max="11012" width="12.140625" style="64" customWidth="1"/>
    <col min="11013" max="11013" width="14.28515625" style="64" customWidth="1"/>
    <col min="11014" max="11015" width="14.7109375" style="64" customWidth="1"/>
    <col min="11016" max="11264" width="9.140625" style="64"/>
    <col min="11265" max="11265" width="18" style="64" customWidth="1"/>
    <col min="11266" max="11266" width="18.42578125" style="64" customWidth="1"/>
    <col min="11267" max="11267" width="15" style="64" customWidth="1"/>
    <col min="11268" max="11268" width="12.140625" style="64" customWidth="1"/>
    <col min="11269" max="11269" width="14.28515625" style="64" customWidth="1"/>
    <col min="11270" max="11271" width="14.7109375" style="64" customWidth="1"/>
    <col min="11272" max="11520" width="9.140625" style="64"/>
    <col min="11521" max="11521" width="18" style="64" customWidth="1"/>
    <col min="11522" max="11522" width="18.42578125" style="64" customWidth="1"/>
    <col min="11523" max="11523" width="15" style="64" customWidth="1"/>
    <col min="11524" max="11524" width="12.140625" style="64" customWidth="1"/>
    <col min="11525" max="11525" width="14.28515625" style="64" customWidth="1"/>
    <col min="11526" max="11527" width="14.7109375" style="64" customWidth="1"/>
    <col min="11528" max="11776" width="9.140625" style="64"/>
    <col min="11777" max="11777" width="18" style="64" customWidth="1"/>
    <col min="11778" max="11778" width="18.42578125" style="64" customWidth="1"/>
    <col min="11779" max="11779" width="15" style="64" customWidth="1"/>
    <col min="11780" max="11780" width="12.140625" style="64" customWidth="1"/>
    <col min="11781" max="11781" width="14.28515625" style="64" customWidth="1"/>
    <col min="11782" max="11783" width="14.7109375" style="64" customWidth="1"/>
    <col min="11784" max="12032" width="9.140625" style="64"/>
    <col min="12033" max="12033" width="18" style="64" customWidth="1"/>
    <col min="12034" max="12034" width="18.42578125" style="64" customWidth="1"/>
    <col min="12035" max="12035" width="15" style="64" customWidth="1"/>
    <col min="12036" max="12036" width="12.140625" style="64" customWidth="1"/>
    <col min="12037" max="12037" width="14.28515625" style="64" customWidth="1"/>
    <col min="12038" max="12039" width="14.7109375" style="64" customWidth="1"/>
    <col min="12040" max="12288" width="9.140625" style="64"/>
    <col min="12289" max="12289" width="18" style="64" customWidth="1"/>
    <col min="12290" max="12290" width="18.42578125" style="64" customWidth="1"/>
    <col min="12291" max="12291" width="15" style="64" customWidth="1"/>
    <col min="12292" max="12292" width="12.140625" style="64" customWidth="1"/>
    <col min="12293" max="12293" width="14.28515625" style="64" customWidth="1"/>
    <col min="12294" max="12295" width="14.7109375" style="64" customWidth="1"/>
    <col min="12296" max="12544" width="9.140625" style="64"/>
    <col min="12545" max="12545" width="18" style="64" customWidth="1"/>
    <col min="12546" max="12546" width="18.42578125" style="64" customWidth="1"/>
    <col min="12547" max="12547" width="15" style="64" customWidth="1"/>
    <col min="12548" max="12548" width="12.140625" style="64" customWidth="1"/>
    <col min="12549" max="12549" width="14.28515625" style="64" customWidth="1"/>
    <col min="12550" max="12551" width="14.7109375" style="64" customWidth="1"/>
    <col min="12552" max="12800" width="9.140625" style="64"/>
    <col min="12801" max="12801" width="18" style="64" customWidth="1"/>
    <col min="12802" max="12802" width="18.42578125" style="64" customWidth="1"/>
    <col min="12803" max="12803" width="15" style="64" customWidth="1"/>
    <col min="12804" max="12804" width="12.140625" style="64" customWidth="1"/>
    <col min="12805" max="12805" width="14.28515625" style="64" customWidth="1"/>
    <col min="12806" max="12807" width="14.7109375" style="64" customWidth="1"/>
    <col min="12808" max="13056" width="9.140625" style="64"/>
    <col min="13057" max="13057" width="18" style="64" customWidth="1"/>
    <col min="13058" max="13058" width="18.42578125" style="64" customWidth="1"/>
    <col min="13059" max="13059" width="15" style="64" customWidth="1"/>
    <col min="13060" max="13060" width="12.140625" style="64" customWidth="1"/>
    <col min="13061" max="13061" width="14.28515625" style="64" customWidth="1"/>
    <col min="13062" max="13063" width="14.7109375" style="64" customWidth="1"/>
    <col min="13064" max="13312" width="9.140625" style="64"/>
    <col min="13313" max="13313" width="18" style="64" customWidth="1"/>
    <col min="13314" max="13314" width="18.42578125" style="64" customWidth="1"/>
    <col min="13315" max="13315" width="15" style="64" customWidth="1"/>
    <col min="13316" max="13316" width="12.140625" style="64" customWidth="1"/>
    <col min="13317" max="13317" width="14.28515625" style="64" customWidth="1"/>
    <col min="13318" max="13319" width="14.7109375" style="64" customWidth="1"/>
    <col min="13320" max="13568" width="9.140625" style="64"/>
    <col min="13569" max="13569" width="18" style="64" customWidth="1"/>
    <col min="13570" max="13570" width="18.42578125" style="64" customWidth="1"/>
    <col min="13571" max="13571" width="15" style="64" customWidth="1"/>
    <col min="13572" max="13572" width="12.140625" style="64" customWidth="1"/>
    <col min="13573" max="13573" width="14.28515625" style="64" customWidth="1"/>
    <col min="13574" max="13575" width="14.7109375" style="64" customWidth="1"/>
    <col min="13576" max="13824" width="9.140625" style="64"/>
    <col min="13825" max="13825" width="18" style="64" customWidth="1"/>
    <col min="13826" max="13826" width="18.42578125" style="64" customWidth="1"/>
    <col min="13827" max="13827" width="15" style="64" customWidth="1"/>
    <col min="13828" max="13828" width="12.140625" style="64" customWidth="1"/>
    <col min="13829" max="13829" width="14.28515625" style="64" customWidth="1"/>
    <col min="13830" max="13831" width="14.7109375" style="64" customWidth="1"/>
    <col min="13832" max="14080" width="9.140625" style="64"/>
    <col min="14081" max="14081" width="18" style="64" customWidth="1"/>
    <col min="14082" max="14082" width="18.42578125" style="64" customWidth="1"/>
    <col min="14083" max="14083" width="15" style="64" customWidth="1"/>
    <col min="14084" max="14084" width="12.140625" style="64" customWidth="1"/>
    <col min="14085" max="14085" width="14.28515625" style="64" customWidth="1"/>
    <col min="14086" max="14087" width="14.7109375" style="64" customWidth="1"/>
    <col min="14088" max="14336" width="9.140625" style="64"/>
    <col min="14337" max="14337" width="18" style="64" customWidth="1"/>
    <col min="14338" max="14338" width="18.42578125" style="64" customWidth="1"/>
    <col min="14339" max="14339" width="15" style="64" customWidth="1"/>
    <col min="14340" max="14340" width="12.140625" style="64" customWidth="1"/>
    <col min="14341" max="14341" width="14.28515625" style="64" customWidth="1"/>
    <col min="14342" max="14343" width="14.7109375" style="64" customWidth="1"/>
    <col min="14344" max="14592" width="9.140625" style="64"/>
    <col min="14593" max="14593" width="18" style="64" customWidth="1"/>
    <col min="14594" max="14594" width="18.42578125" style="64" customWidth="1"/>
    <col min="14595" max="14595" width="15" style="64" customWidth="1"/>
    <col min="14596" max="14596" width="12.140625" style="64" customWidth="1"/>
    <col min="14597" max="14597" width="14.28515625" style="64" customWidth="1"/>
    <col min="14598" max="14599" width="14.7109375" style="64" customWidth="1"/>
    <col min="14600" max="14848" width="9.140625" style="64"/>
    <col min="14849" max="14849" width="18" style="64" customWidth="1"/>
    <col min="14850" max="14850" width="18.42578125" style="64" customWidth="1"/>
    <col min="14851" max="14851" width="15" style="64" customWidth="1"/>
    <col min="14852" max="14852" width="12.140625" style="64" customWidth="1"/>
    <col min="14853" max="14853" width="14.28515625" style="64" customWidth="1"/>
    <col min="14854" max="14855" width="14.7109375" style="64" customWidth="1"/>
    <col min="14856" max="15104" width="9.140625" style="64"/>
    <col min="15105" max="15105" width="18" style="64" customWidth="1"/>
    <col min="15106" max="15106" width="18.42578125" style="64" customWidth="1"/>
    <col min="15107" max="15107" width="15" style="64" customWidth="1"/>
    <col min="15108" max="15108" width="12.140625" style="64" customWidth="1"/>
    <col min="15109" max="15109" width="14.28515625" style="64" customWidth="1"/>
    <col min="15110" max="15111" width="14.7109375" style="64" customWidth="1"/>
    <col min="15112" max="15360" width="9.140625" style="64"/>
    <col min="15361" max="15361" width="18" style="64" customWidth="1"/>
    <col min="15362" max="15362" width="18.42578125" style="64" customWidth="1"/>
    <col min="15363" max="15363" width="15" style="64" customWidth="1"/>
    <col min="15364" max="15364" width="12.140625" style="64" customWidth="1"/>
    <col min="15365" max="15365" width="14.28515625" style="64" customWidth="1"/>
    <col min="15366" max="15367" width="14.7109375" style="64" customWidth="1"/>
    <col min="15368" max="15616" width="9.140625" style="64"/>
    <col min="15617" max="15617" width="18" style="64" customWidth="1"/>
    <col min="15618" max="15618" width="18.42578125" style="64" customWidth="1"/>
    <col min="15619" max="15619" width="15" style="64" customWidth="1"/>
    <col min="15620" max="15620" width="12.140625" style="64" customWidth="1"/>
    <col min="15621" max="15621" width="14.28515625" style="64" customWidth="1"/>
    <col min="15622" max="15623" width="14.7109375" style="64" customWidth="1"/>
    <col min="15624" max="15872" width="9.140625" style="64"/>
    <col min="15873" max="15873" width="18" style="64" customWidth="1"/>
    <col min="15874" max="15874" width="18.42578125" style="64" customWidth="1"/>
    <col min="15875" max="15875" width="15" style="64" customWidth="1"/>
    <col min="15876" max="15876" width="12.140625" style="64" customWidth="1"/>
    <col min="15877" max="15877" width="14.28515625" style="64" customWidth="1"/>
    <col min="15878" max="15879" width="14.7109375" style="64" customWidth="1"/>
    <col min="15880" max="16128" width="9.140625" style="64"/>
    <col min="16129" max="16129" width="18" style="64" customWidth="1"/>
    <col min="16130" max="16130" width="18.42578125" style="64" customWidth="1"/>
    <col min="16131" max="16131" width="15" style="64" customWidth="1"/>
    <col min="16132" max="16132" width="12.140625" style="64" customWidth="1"/>
    <col min="16133" max="16133" width="14.28515625" style="64" customWidth="1"/>
    <col min="16134" max="16135" width="14.7109375" style="64" customWidth="1"/>
    <col min="16136" max="16384" width="9.140625" style="64"/>
  </cols>
  <sheetData>
    <row r="1" spans="1:9" s="126" customFormat="1" x14ac:dyDescent="0.2">
      <c r="A1" s="448" t="s">
        <v>420</v>
      </c>
    </row>
    <row r="2" spans="1:9" s="126" customFormat="1" x14ac:dyDescent="0.2"/>
    <row r="3" spans="1:9" s="126" customFormat="1" ht="46.9" customHeight="1" x14ac:dyDescent="0.2">
      <c r="A3" s="127" t="s">
        <v>132</v>
      </c>
      <c r="B3" s="127" t="s">
        <v>57</v>
      </c>
      <c r="C3" s="127" t="s">
        <v>59</v>
      </c>
      <c r="D3" s="127" t="s">
        <v>58</v>
      </c>
      <c r="E3" s="127" t="s">
        <v>55</v>
      </c>
      <c r="F3" s="127" t="s">
        <v>56</v>
      </c>
      <c r="G3" s="127" t="s">
        <v>56</v>
      </c>
      <c r="H3" s="757"/>
    </row>
    <row r="4" spans="1:9" s="126" customFormat="1" ht="13.15" customHeight="1" x14ac:dyDescent="0.2">
      <c r="A4" s="1164" t="str">
        <f>'Налог на имущество'!A4</f>
        <v>МАДОУ ЦРР-детский сад № 2</v>
      </c>
      <c r="B4" s="591">
        <v>9745</v>
      </c>
      <c r="C4" s="599" t="s">
        <v>60</v>
      </c>
      <c r="D4" s="224">
        <v>5150781.84</v>
      </c>
      <c r="E4" s="225">
        <v>1.4999999999999999E-2</v>
      </c>
      <c r="F4" s="592">
        <f t="shared" ref="F4:F15" si="0">ROUND(D4*E4,0)</f>
        <v>77262</v>
      </c>
      <c r="G4" s="1172">
        <f>F4+F5+F6+F7</f>
        <v>245167</v>
      </c>
      <c r="H4" s="758"/>
      <c r="I4" s="126" t="s">
        <v>445</v>
      </c>
    </row>
    <row r="5" spans="1:9" s="126" customFormat="1" ht="12.75" customHeight="1" x14ac:dyDescent="0.2">
      <c r="A5" s="1166"/>
      <c r="B5" s="591">
        <v>6848</v>
      </c>
      <c r="C5" s="599" t="s">
        <v>267</v>
      </c>
      <c r="D5" s="224">
        <v>3719988.4</v>
      </c>
      <c r="E5" s="225">
        <v>1.4999999999999999E-2</v>
      </c>
      <c r="F5" s="592">
        <f t="shared" si="0"/>
        <v>55800</v>
      </c>
      <c r="G5" s="1172"/>
      <c r="H5" s="758"/>
      <c r="I5" s="126" t="s">
        <v>444</v>
      </c>
    </row>
    <row r="6" spans="1:9" s="126" customFormat="1" ht="12.75" customHeight="1" x14ac:dyDescent="0.2">
      <c r="A6" s="1166"/>
      <c r="B6" s="591">
        <v>5492</v>
      </c>
      <c r="C6" s="599" t="s">
        <v>275</v>
      </c>
      <c r="D6" s="224">
        <v>2687081.8</v>
      </c>
      <c r="E6" s="225">
        <v>1.4999999999999999E-2</v>
      </c>
      <c r="F6" s="592">
        <f t="shared" si="0"/>
        <v>40306</v>
      </c>
      <c r="G6" s="1172"/>
      <c r="H6" s="758"/>
      <c r="I6" s="126" t="s">
        <v>443</v>
      </c>
    </row>
    <row r="7" spans="1:9" s="126" customFormat="1" ht="12.75" customHeight="1" x14ac:dyDescent="0.2">
      <c r="A7" s="1165"/>
      <c r="B7" s="591">
        <v>9329</v>
      </c>
      <c r="C7" s="599" t="s">
        <v>67</v>
      </c>
      <c r="D7" s="224">
        <v>4786616.6100000003</v>
      </c>
      <c r="E7" s="225">
        <v>1.4999999999999999E-2</v>
      </c>
      <c r="F7" s="592">
        <f t="shared" si="0"/>
        <v>71799</v>
      </c>
      <c r="G7" s="1172"/>
      <c r="H7" s="758"/>
      <c r="I7" s="126" t="s">
        <v>442</v>
      </c>
    </row>
    <row r="8" spans="1:9" s="126" customFormat="1" x14ac:dyDescent="0.2">
      <c r="A8" s="1167" t="str">
        <f>'Налог на имущество'!A5</f>
        <v>МАДОУ ЦРР-детский сад № 11</v>
      </c>
      <c r="B8" s="604">
        <v>5768</v>
      </c>
      <c r="C8" s="605" t="s">
        <v>62</v>
      </c>
      <c r="D8" s="606">
        <v>3059102</v>
      </c>
      <c r="E8" s="607">
        <v>1.4999999999999999E-2</v>
      </c>
      <c r="F8" s="592">
        <f t="shared" si="0"/>
        <v>45887</v>
      </c>
      <c r="G8" s="1172">
        <f>F8+F9+F10+F11</f>
        <v>180004</v>
      </c>
      <c r="H8" s="758"/>
      <c r="I8" s="126" t="s">
        <v>451</v>
      </c>
    </row>
    <row r="9" spans="1:9" s="126" customFormat="1" x14ac:dyDescent="0.2">
      <c r="A9" s="1168"/>
      <c r="B9" s="604">
        <v>4170</v>
      </c>
      <c r="C9" s="605" t="s">
        <v>271</v>
      </c>
      <c r="D9" s="606">
        <v>2244473</v>
      </c>
      <c r="E9" s="607">
        <v>1.4999999999999999E-2</v>
      </c>
      <c r="F9" s="592">
        <f t="shared" si="0"/>
        <v>33667</v>
      </c>
      <c r="G9" s="1173"/>
      <c r="H9" s="759"/>
      <c r="I9" s="126" t="s">
        <v>452</v>
      </c>
    </row>
    <row r="10" spans="1:9" s="126" customFormat="1" x14ac:dyDescent="0.2">
      <c r="A10" s="1168"/>
      <c r="B10" s="591">
        <v>5530</v>
      </c>
      <c r="C10" s="599" t="s">
        <v>455</v>
      </c>
      <c r="D10" s="224">
        <v>2908054.7</v>
      </c>
      <c r="E10" s="225">
        <v>1.4999999999999999E-2</v>
      </c>
      <c r="F10" s="592">
        <f t="shared" si="0"/>
        <v>43621</v>
      </c>
      <c r="G10" s="1173"/>
      <c r="H10" s="759"/>
      <c r="I10" s="126" t="s">
        <v>454</v>
      </c>
    </row>
    <row r="11" spans="1:9" s="126" customFormat="1" x14ac:dyDescent="0.2">
      <c r="A11" s="1169"/>
      <c r="B11" s="591">
        <v>7239</v>
      </c>
      <c r="C11" s="599" t="s">
        <v>270</v>
      </c>
      <c r="D11" s="224">
        <v>3788568.63</v>
      </c>
      <c r="E11" s="225">
        <v>1.4999999999999999E-2</v>
      </c>
      <c r="F11" s="592">
        <f t="shared" si="0"/>
        <v>56829</v>
      </c>
      <c r="G11" s="1173"/>
      <c r="H11" s="759"/>
      <c r="I11" s="126" t="s">
        <v>453</v>
      </c>
    </row>
    <row r="12" spans="1:9" s="126" customFormat="1" x14ac:dyDescent="0.2">
      <c r="A12" s="1164" t="str">
        <f>'Налог на имущество'!A6</f>
        <v>МАДОУ ЦРР-детский сад № 13</v>
      </c>
      <c r="B12" s="591">
        <v>4095</v>
      </c>
      <c r="C12" s="599" t="s">
        <v>63</v>
      </c>
      <c r="D12" s="224">
        <v>2306319.66</v>
      </c>
      <c r="E12" s="225">
        <v>1.4999999999999999E-2</v>
      </c>
      <c r="F12" s="592">
        <f t="shared" si="0"/>
        <v>34595</v>
      </c>
      <c r="G12" s="1172">
        <f>F12+F13+F14+F15+F16</f>
        <v>195347</v>
      </c>
      <c r="H12" s="758"/>
      <c r="I12" s="126" t="s">
        <v>460</v>
      </c>
    </row>
    <row r="13" spans="1:9" s="126" customFormat="1" x14ac:dyDescent="0.2">
      <c r="A13" s="1166"/>
      <c r="B13" s="591">
        <v>2420</v>
      </c>
      <c r="C13" s="599" t="s">
        <v>272</v>
      </c>
      <c r="D13" s="224">
        <v>1488977.6</v>
      </c>
      <c r="E13" s="225">
        <v>1.4999999999999999E-2</v>
      </c>
      <c r="F13" s="592">
        <f t="shared" si="0"/>
        <v>22335</v>
      </c>
      <c r="G13" s="1173"/>
      <c r="H13" s="759"/>
      <c r="I13" s="126" t="s">
        <v>462</v>
      </c>
    </row>
    <row r="14" spans="1:9" s="126" customFormat="1" x14ac:dyDescent="0.2">
      <c r="A14" s="1166"/>
      <c r="B14" s="591">
        <v>2381</v>
      </c>
      <c r="C14" s="599" t="s">
        <v>273</v>
      </c>
      <c r="D14" s="224">
        <v>1272453.72</v>
      </c>
      <c r="E14" s="225">
        <v>1.4999999999999999E-2</v>
      </c>
      <c r="F14" s="592">
        <f t="shared" si="0"/>
        <v>19087</v>
      </c>
      <c r="G14" s="1173"/>
      <c r="H14" s="759"/>
      <c r="I14" s="126" t="s">
        <v>461</v>
      </c>
    </row>
    <row r="15" spans="1:9" s="126" customFormat="1" x14ac:dyDescent="0.2">
      <c r="A15" s="1166"/>
      <c r="B15" s="591">
        <v>8174</v>
      </c>
      <c r="C15" s="599" t="s">
        <v>64</v>
      </c>
      <c r="D15" s="224">
        <v>4464034.53</v>
      </c>
      <c r="E15" s="225">
        <v>1.4999999999999999E-2</v>
      </c>
      <c r="F15" s="592">
        <f t="shared" si="0"/>
        <v>66961</v>
      </c>
      <c r="G15" s="1173"/>
      <c r="H15" s="759"/>
      <c r="I15" s="126" t="s">
        <v>464</v>
      </c>
    </row>
    <row r="16" spans="1:9" s="126" customFormat="1" x14ac:dyDescent="0.2">
      <c r="A16" s="1165"/>
      <c r="B16" s="591">
        <v>6356</v>
      </c>
      <c r="C16" s="599" t="s">
        <v>66</v>
      </c>
      <c r="D16" s="224">
        <v>3491262.4</v>
      </c>
      <c r="E16" s="225">
        <v>1.4999999999999999E-2</v>
      </c>
      <c r="F16" s="592">
        <f t="shared" ref="F16:F26" si="1">ROUND(D16*E16,0)</f>
        <v>52369</v>
      </c>
      <c r="G16" s="1173"/>
      <c r="H16" s="759"/>
      <c r="I16" s="126" t="s">
        <v>463</v>
      </c>
    </row>
    <row r="17" spans="1:9" s="126" customFormat="1" ht="15.6" customHeight="1" x14ac:dyDescent="0.2">
      <c r="A17" s="1164" t="str">
        <f>'Налог на имущество'!A7</f>
        <v>МАОУ СОШ № 1 структурное подразделение</v>
      </c>
      <c r="B17" s="591">
        <v>9589</v>
      </c>
      <c r="C17" s="599" t="s">
        <v>65</v>
      </c>
      <c r="D17" s="224">
        <v>5607476.6200000001</v>
      </c>
      <c r="E17" s="225">
        <v>1.4999999999999999E-2</v>
      </c>
      <c r="F17" s="592">
        <f t="shared" si="1"/>
        <v>84112</v>
      </c>
      <c r="G17" s="1172">
        <f>F17+F18</f>
        <v>137908</v>
      </c>
      <c r="H17" s="758"/>
      <c r="I17" s="126" t="s">
        <v>466</v>
      </c>
    </row>
    <row r="18" spans="1:9" s="126" customFormat="1" ht="15.6" customHeight="1" x14ac:dyDescent="0.2">
      <c r="A18" s="1165"/>
      <c r="B18" s="591">
        <v>5896</v>
      </c>
      <c r="C18" s="599" t="s">
        <v>274</v>
      </c>
      <c r="D18" s="224">
        <v>3586379.01</v>
      </c>
      <c r="E18" s="225">
        <v>1.4999999999999999E-2</v>
      </c>
      <c r="F18" s="592">
        <f t="shared" si="1"/>
        <v>53796</v>
      </c>
      <c r="G18" s="1172"/>
      <c r="H18" s="758"/>
      <c r="I18" s="126" t="s">
        <v>467</v>
      </c>
    </row>
    <row r="19" spans="1:9" s="126" customFormat="1" ht="13.15" customHeight="1" x14ac:dyDescent="0.2">
      <c r="A19" s="1164" t="str">
        <f>'Налог на имущество'!A8</f>
        <v>МАОУ СОШ № 2 им.М.И.Грибушина структурное подразделение</v>
      </c>
      <c r="B19" s="613">
        <v>20641</v>
      </c>
      <c r="C19" s="614" t="s">
        <v>468</v>
      </c>
      <c r="D19" s="224">
        <v>10418877.6</v>
      </c>
      <c r="E19" s="225">
        <v>1.4999999999999999E-2</v>
      </c>
      <c r="F19" s="592">
        <f t="shared" si="1"/>
        <v>156283</v>
      </c>
      <c r="G19" s="1170">
        <f>F19+F20</f>
        <v>156283</v>
      </c>
      <c r="H19" s="758"/>
      <c r="I19" s="126" t="s">
        <v>469</v>
      </c>
    </row>
    <row r="20" spans="1:9" s="126" customFormat="1" x14ac:dyDescent="0.2">
      <c r="A20" s="1166"/>
      <c r="B20" s="596"/>
      <c r="C20" s="597"/>
      <c r="D20" s="593"/>
      <c r="E20" s="594"/>
      <c r="F20" s="595"/>
      <c r="G20" s="1171"/>
      <c r="H20" s="759"/>
    </row>
    <row r="21" spans="1:9" s="126" customFormat="1" x14ac:dyDescent="0.2">
      <c r="A21" s="1164" t="str">
        <f>'Налог на имущество'!A9</f>
        <v>МАОУ СОШ № 10 структурное подразделение</v>
      </c>
      <c r="B21" s="591">
        <v>4848</v>
      </c>
      <c r="C21" s="599" t="s">
        <v>241</v>
      </c>
      <c r="D21" s="124">
        <v>2687560.92</v>
      </c>
      <c r="E21" s="225">
        <v>1.4999999999999999E-2</v>
      </c>
      <c r="F21" s="592">
        <f t="shared" si="1"/>
        <v>40313</v>
      </c>
      <c r="G21" s="1170">
        <f>SUM(F21:F22)</f>
        <v>83273</v>
      </c>
      <c r="H21" s="758"/>
      <c r="I21" s="126" t="s">
        <v>470</v>
      </c>
    </row>
    <row r="22" spans="1:9" s="615" customFormat="1" x14ac:dyDescent="0.2">
      <c r="A22" s="1165"/>
      <c r="B22" s="591">
        <v>10882</v>
      </c>
      <c r="C22" s="599" t="s">
        <v>472</v>
      </c>
      <c r="D22" s="124">
        <v>2864011.84</v>
      </c>
      <c r="E22" s="225">
        <v>1.4999999999999999E-2</v>
      </c>
      <c r="F22" s="592">
        <f>ROUND(D22*E22,0)</f>
        <v>42960</v>
      </c>
      <c r="G22" s="1174"/>
      <c r="H22" s="758"/>
      <c r="I22" s="126" t="s">
        <v>471</v>
      </c>
    </row>
    <row r="23" spans="1:9" s="123" customFormat="1" ht="27.6" customHeight="1" x14ac:dyDescent="0.2">
      <c r="A23" s="542" t="str">
        <f>'Налог на имущество'!A10</f>
        <v>МАОУ СОШ № 13 структурное подразделение</v>
      </c>
      <c r="B23" s="591">
        <v>10646</v>
      </c>
      <c r="C23" s="599" t="s">
        <v>61</v>
      </c>
      <c r="D23" s="124">
        <v>5172234.9000000004</v>
      </c>
      <c r="E23" s="225">
        <v>1.4999999999999999E-2</v>
      </c>
      <c r="F23" s="592">
        <f t="shared" si="1"/>
        <v>77584</v>
      </c>
      <c r="G23" s="602">
        <f>F23</f>
        <v>77584</v>
      </c>
      <c r="H23" s="758"/>
      <c r="I23" s="126" t="s">
        <v>473</v>
      </c>
    </row>
    <row r="24" spans="1:9" s="126" customFormat="1" ht="15.6" customHeight="1" x14ac:dyDescent="0.2">
      <c r="A24" s="1164" t="str">
        <f>'Налог на имущество'!A11</f>
        <v>Гимназия № 16 структурное подразделение</v>
      </c>
      <c r="B24" s="591">
        <v>10648</v>
      </c>
      <c r="C24" s="599" t="s">
        <v>268</v>
      </c>
      <c r="D24" s="224">
        <v>5655544.04</v>
      </c>
      <c r="E24" s="225">
        <v>1.4999999999999999E-2</v>
      </c>
      <c r="F24" s="592">
        <f t="shared" si="1"/>
        <v>84833</v>
      </c>
      <c r="G24" s="1170">
        <f>F24+F25</f>
        <v>121832</v>
      </c>
      <c r="H24" s="758"/>
      <c r="I24" s="126" t="s">
        <v>474</v>
      </c>
    </row>
    <row r="25" spans="1:9" s="126" customFormat="1" ht="15.6" customHeight="1" x14ac:dyDescent="0.2">
      <c r="A25" s="1165"/>
      <c r="B25" s="591">
        <v>4397</v>
      </c>
      <c r="C25" s="599" t="s">
        <v>269</v>
      </c>
      <c r="D25" s="224">
        <v>2466585.09</v>
      </c>
      <c r="E25" s="225">
        <v>1.4999999999999999E-2</v>
      </c>
      <c r="F25" s="592">
        <f t="shared" si="1"/>
        <v>36999</v>
      </c>
      <c r="G25" s="1171"/>
      <c r="H25" s="759"/>
      <c r="I25" s="126" t="s">
        <v>475</v>
      </c>
    </row>
    <row r="26" spans="1:9" s="126" customFormat="1" ht="31.9" customHeight="1" x14ac:dyDescent="0.2">
      <c r="A26" s="353" t="str">
        <f>'Налог на имущество'!A12</f>
        <v>МАОУ ООШ № 17 с кадетскими классами структурное подразделение</v>
      </c>
      <c r="B26" s="638">
        <v>5000</v>
      </c>
      <c r="C26" s="639" t="s">
        <v>276</v>
      </c>
      <c r="D26" s="640">
        <v>2535826.61</v>
      </c>
      <c r="E26" s="607">
        <v>1.4999999999999999E-2</v>
      </c>
      <c r="F26" s="592">
        <f t="shared" si="1"/>
        <v>38037</v>
      </c>
      <c r="G26" s="625">
        <f>F26</f>
        <v>38037</v>
      </c>
      <c r="H26" s="758"/>
      <c r="I26" s="126" t="s">
        <v>476</v>
      </c>
    </row>
    <row r="27" spans="1:9" s="764" customFormat="1" x14ac:dyDescent="0.2">
      <c r="A27" s="761" t="s">
        <v>1</v>
      </c>
      <c r="B27" s="762"/>
      <c r="C27" s="762"/>
      <c r="D27" s="763"/>
      <c r="E27" s="763"/>
      <c r="F27" s="641">
        <f>SUM(F4:F26)</f>
        <v>1235435</v>
      </c>
      <c r="G27" s="641">
        <f>SUM(G4:G26)</f>
        <v>1235435</v>
      </c>
      <c r="H27" s="760"/>
    </row>
    <row r="28" spans="1:9" x14ac:dyDescent="0.2">
      <c r="B28" s="598"/>
      <c r="C28" s="598"/>
      <c r="D28" s="598"/>
      <c r="E28" s="598"/>
      <c r="F28" s="598"/>
    </row>
  </sheetData>
  <mergeCells count="14">
    <mergeCell ref="G24:G25"/>
    <mergeCell ref="G4:G7"/>
    <mergeCell ref="G8:G11"/>
    <mergeCell ref="G12:G16"/>
    <mergeCell ref="G17:G18"/>
    <mergeCell ref="G19:G20"/>
    <mergeCell ref="G21:G22"/>
    <mergeCell ref="A17:A18"/>
    <mergeCell ref="A19:A20"/>
    <mergeCell ref="A24:A25"/>
    <mergeCell ref="A4:A7"/>
    <mergeCell ref="A8:A11"/>
    <mergeCell ref="A12:A16"/>
    <mergeCell ref="A21:A22"/>
  </mergeCells>
  <pageMargins left="0.75" right="0.75" top="1" bottom="1" header="0.5" footer="0.5"/>
  <pageSetup paperSize="9" scale="96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pageSetUpPr fitToPage="1"/>
  </sheetPr>
  <dimension ref="A1:F33"/>
  <sheetViews>
    <sheetView topLeftCell="A4" zoomScale="110" zoomScaleNormal="110" workbookViewId="0">
      <selection activeCell="I22" sqref="I22"/>
    </sheetView>
  </sheetViews>
  <sheetFormatPr defaultColWidth="8.85546875" defaultRowHeight="12.75" x14ac:dyDescent="0.2"/>
  <cols>
    <col min="1" max="1" width="43" style="14" customWidth="1"/>
    <col min="2" max="2" width="12.28515625" style="14" customWidth="1"/>
    <col min="3" max="3" width="15.5703125" style="14" customWidth="1"/>
    <col min="4" max="4" width="12.7109375" style="14" customWidth="1"/>
    <col min="5" max="6" width="13.5703125" style="14" customWidth="1"/>
    <col min="7" max="256" width="8.85546875" style="14"/>
    <col min="257" max="257" width="27.7109375" style="14" customWidth="1"/>
    <col min="258" max="258" width="9.28515625" style="14" customWidth="1"/>
    <col min="259" max="259" width="13" style="14" customWidth="1"/>
    <col min="260" max="260" width="12.28515625" style="14" customWidth="1"/>
    <col min="261" max="261" width="13.5703125" style="14" customWidth="1"/>
    <col min="262" max="262" width="13.85546875" style="14" customWidth="1"/>
    <col min="263" max="512" width="8.85546875" style="14"/>
    <col min="513" max="513" width="27.7109375" style="14" customWidth="1"/>
    <col min="514" max="514" width="9.28515625" style="14" customWidth="1"/>
    <col min="515" max="515" width="13" style="14" customWidth="1"/>
    <col min="516" max="516" width="12.28515625" style="14" customWidth="1"/>
    <col min="517" max="517" width="13.5703125" style="14" customWidth="1"/>
    <col min="518" max="518" width="13.85546875" style="14" customWidth="1"/>
    <col min="519" max="768" width="8.85546875" style="14"/>
    <col min="769" max="769" width="27.7109375" style="14" customWidth="1"/>
    <col min="770" max="770" width="9.28515625" style="14" customWidth="1"/>
    <col min="771" max="771" width="13" style="14" customWidth="1"/>
    <col min="772" max="772" width="12.28515625" style="14" customWidth="1"/>
    <col min="773" max="773" width="13.5703125" style="14" customWidth="1"/>
    <col min="774" max="774" width="13.85546875" style="14" customWidth="1"/>
    <col min="775" max="1024" width="8.85546875" style="14"/>
    <col min="1025" max="1025" width="27.7109375" style="14" customWidth="1"/>
    <col min="1026" max="1026" width="9.28515625" style="14" customWidth="1"/>
    <col min="1027" max="1027" width="13" style="14" customWidth="1"/>
    <col min="1028" max="1028" width="12.28515625" style="14" customWidth="1"/>
    <col min="1029" max="1029" width="13.5703125" style="14" customWidth="1"/>
    <col min="1030" max="1030" width="13.85546875" style="14" customWidth="1"/>
    <col min="1031" max="1280" width="8.85546875" style="14"/>
    <col min="1281" max="1281" width="27.7109375" style="14" customWidth="1"/>
    <col min="1282" max="1282" width="9.28515625" style="14" customWidth="1"/>
    <col min="1283" max="1283" width="13" style="14" customWidth="1"/>
    <col min="1284" max="1284" width="12.28515625" style="14" customWidth="1"/>
    <col min="1285" max="1285" width="13.5703125" style="14" customWidth="1"/>
    <col min="1286" max="1286" width="13.85546875" style="14" customWidth="1"/>
    <col min="1287" max="1536" width="8.85546875" style="14"/>
    <col min="1537" max="1537" width="27.7109375" style="14" customWidth="1"/>
    <col min="1538" max="1538" width="9.28515625" style="14" customWidth="1"/>
    <col min="1539" max="1539" width="13" style="14" customWidth="1"/>
    <col min="1540" max="1540" width="12.28515625" style="14" customWidth="1"/>
    <col min="1541" max="1541" width="13.5703125" style="14" customWidth="1"/>
    <col min="1542" max="1542" width="13.85546875" style="14" customWidth="1"/>
    <col min="1543" max="1792" width="8.85546875" style="14"/>
    <col min="1793" max="1793" width="27.7109375" style="14" customWidth="1"/>
    <col min="1794" max="1794" width="9.28515625" style="14" customWidth="1"/>
    <col min="1795" max="1795" width="13" style="14" customWidth="1"/>
    <col min="1796" max="1796" width="12.28515625" style="14" customWidth="1"/>
    <col min="1797" max="1797" width="13.5703125" style="14" customWidth="1"/>
    <col min="1798" max="1798" width="13.85546875" style="14" customWidth="1"/>
    <col min="1799" max="2048" width="8.85546875" style="14"/>
    <col min="2049" max="2049" width="27.7109375" style="14" customWidth="1"/>
    <col min="2050" max="2050" width="9.28515625" style="14" customWidth="1"/>
    <col min="2051" max="2051" width="13" style="14" customWidth="1"/>
    <col min="2052" max="2052" width="12.28515625" style="14" customWidth="1"/>
    <col min="2053" max="2053" width="13.5703125" style="14" customWidth="1"/>
    <col min="2054" max="2054" width="13.85546875" style="14" customWidth="1"/>
    <col min="2055" max="2304" width="8.85546875" style="14"/>
    <col min="2305" max="2305" width="27.7109375" style="14" customWidth="1"/>
    <col min="2306" max="2306" width="9.28515625" style="14" customWidth="1"/>
    <col min="2307" max="2307" width="13" style="14" customWidth="1"/>
    <col min="2308" max="2308" width="12.28515625" style="14" customWidth="1"/>
    <col min="2309" max="2309" width="13.5703125" style="14" customWidth="1"/>
    <col min="2310" max="2310" width="13.85546875" style="14" customWidth="1"/>
    <col min="2311" max="2560" width="8.85546875" style="14"/>
    <col min="2561" max="2561" width="27.7109375" style="14" customWidth="1"/>
    <col min="2562" max="2562" width="9.28515625" style="14" customWidth="1"/>
    <col min="2563" max="2563" width="13" style="14" customWidth="1"/>
    <col min="2564" max="2564" width="12.28515625" style="14" customWidth="1"/>
    <col min="2565" max="2565" width="13.5703125" style="14" customWidth="1"/>
    <col min="2566" max="2566" width="13.85546875" style="14" customWidth="1"/>
    <col min="2567" max="2816" width="8.85546875" style="14"/>
    <col min="2817" max="2817" width="27.7109375" style="14" customWidth="1"/>
    <col min="2818" max="2818" width="9.28515625" style="14" customWidth="1"/>
    <col min="2819" max="2819" width="13" style="14" customWidth="1"/>
    <col min="2820" max="2820" width="12.28515625" style="14" customWidth="1"/>
    <col min="2821" max="2821" width="13.5703125" style="14" customWidth="1"/>
    <col min="2822" max="2822" width="13.85546875" style="14" customWidth="1"/>
    <col min="2823" max="3072" width="8.85546875" style="14"/>
    <col min="3073" max="3073" width="27.7109375" style="14" customWidth="1"/>
    <col min="3074" max="3074" width="9.28515625" style="14" customWidth="1"/>
    <col min="3075" max="3075" width="13" style="14" customWidth="1"/>
    <col min="3076" max="3076" width="12.28515625" style="14" customWidth="1"/>
    <col min="3077" max="3077" width="13.5703125" style="14" customWidth="1"/>
    <col min="3078" max="3078" width="13.85546875" style="14" customWidth="1"/>
    <col min="3079" max="3328" width="8.85546875" style="14"/>
    <col min="3329" max="3329" width="27.7109375" style="14" customWidth="1"/>
    <col min="3330" max="3330" width="9.28515625" style="14" customWidth="1"/>
    <col min="3331" max="3331" width="13" style="14" customWidth="1"/>
    <col min="3332" max="3332" width="12.28515625" style="14" customWidth="1"/>
    <col min="3333" max="3333" width="13.5703125" style="14" customWidth="1"/>
    <col min="3334" max="3334" width="13.85546875" style="14" customWidth="1"/>
    <col min="3335" max="3584" width="8.85546875" style="14"/>
    <col min="3585" max="3585" width="27.7109375" style="14" customWidth="1"/>
    <col min="3586" max="3586" width="9.28515625" style="14" customWidth="1"/>
    <col min="3587" max="3587" width="13" style="14" customWidth="1"/>
    <col min="3588" max="3588" width="12.28515625" style="14" customWidth="1"/>
    <col min="3589" max="3589" width="13.5703125" style="14" customWidth="1"/>
    <col min="3590" max="3590" width="13.85546875" style="14" customWidth="1"/>
    <col min="3591" max="3840" width="8.85546875" style="14"/>
    <col min="3841" max="3841" width="27.7109375" style="14" customWidth="1"/>
    <col min="3842" max="3842" width="9.28515625" style="14" customWidth="1"/>
    <col min="3843" max="3843" width="13" style="14" customWidth="1"/>
    <col min="3844" max="3844" width="12.28515625" style="14" customWidth="1"/>
    <col min="3845" max="3845" width="13.5703125" style="14" customWidth="1"/>
    <col min="3846" max="3846" width="13.85546875" style="14" customWidth="1"/>
    <col min="3847" max="4096" width="8.85546875" style="14"/>
    <col min="4097" max="4097" width="27.7109375" style="14" customWidth="1"/>
    <col min="4098" max="4098" width="9.28515625" style="14" customWidth="1"/>
    <col min="4099" max="4099" width="13" style="14" customWidth="1"/>
    <col min="4100" max="4100" width="12.28515625" style="14" customWidth="1"/>
    <col min="4101" max="4101" width="13.5703125" style="14" customWidth="1"/>
    <col min="4102" max="4102" width="13.85546875" style="14" customWidth="1"/>
    <col min="4103" max="4352" width="8.85546875" style="14"/>
    <col min="4353" max="4353" width="27.7109375" style="14" customWidth="1"/>
    <col min="4354" max="4354" width="9.28515625" style="14" customWidth="1"/>
    <col min="4355" max="4355" width="13" style="14" customWidth="1"/>
    <col min="4356" max="4356" width="12.28515625" style="14" customWidth="1"/>
    <col min="4357" max="4357" width="13.5703125" style="14" customWidth="1"/>
    <col min="4358" max="4358" width="13.85546875" style="14" customWidth="1"/>
    <col min="4359" max="4608" width="8.85546875" style="14"/>
    <col min="4609" max="4609" width="27.7109375" style="14" customWidth="1"/>
    <col min="4610" max="4610" width="9.28515625" style="14" customWidth="1"/>
    <col min="4611" max="4611" width="13" style="14" customWidth="1"/>
    <col min="4612" max="4612" width="12.28515625" style="14" customWidth="1"/>
    <col min="4613" max="4613" width="13.5703125" style="14" customWidth="1"/>
    <col min="4614" max="4614" width="13.85546875" style="14" customWidth="1"/>
    <col min="4615" max="4864" width="8.85546875" style="14"/>
    <col min="4865" max="4865" width="27.7109375" style="14" customWidth="1"/>
    <col min="4866" max="4866" width="9.28515625" style="14" customWidth="1"/>
    <col min="4867" max="4867" width="13" style="14" customWidth="1"/>
    <col min="4868" max="4868" width="12.28515625" style="14" customWidth="1"/>
    <col min="4869" max="4869" width="13.5703125" style="14" customWidth="1"/>
    <col min="4870" max="4870" width="13.85546875" style="14" customWidth="1"/>
    <col min="4871" max="5120" width="8.85546875" style="14"/>
    <col min="5121" max="5121" width="27.7109375" style="14" customWidth="1"/>
    <col min="5122" max="5122" width="9.28515625" style="14" customWidth="1"/>
    <col min="5123" max="5123" width="13" style="14" customWidth="1"/>
    <col min="5124" max="5124" width="12.28515625" style="14" customWidth="1"/>
    <col min="5125" max="5125" width="13.5703125" style="14" customWidth="1"/>
    <col min="5126" max="5126" width="13.85546875" style="14" customWidth="1"/>
    <col min="5127" max="5376" width="8.85546875" style="14"/>
    <col min="5377" max="5377" width="27.7109375" style="14" customWidth="1"/>
    <col min="5378" max="5378" width="9.28515625" style="14" customWidth="1"/>
    <col min="5379" max="5379" width="13" style="14" customWidth="1"/>
    <col min="5380" max="5380" width="12.28515625" style="14" customWidth="1"/>
    <col min="5381" max="5381" width="13.5703125" style="14" customWidth="1"/>
    <col min="5382" max="5382" width="13.85546875" style="14" customWidth="1"/>
    <col min="5383" max="5632" width="8.85546875" style="14"/>
    <col min="5633" max="5633" width="27.7109375" style="14" customWidth="1"/>
    <col min="5634" max="5634" width="9.28515625" style="14" customWidth="1"/>
    <col min="5635" max="5635" width="13" style="14" customWidth="1"/>
    <col min="5636" max="5636" width="12.28515625" style="14" customWidth="1"/>
    <col min="5637" max="5637" width="13.5703125" style="14" customWidth="1"/>
    <col min="5638" max="5638" width="13.85546875" style="14" customWidth="1"/>
    <col min="5639" max="5888" width="8.85546875" style="14"/>
    <col min="5889" max="5889" width="27.7109375" style="14" customWidth="1"/>
    <col min="5890" max="5890" width="9.28515625" style="14" customWidth="1"/>
    <col min="5891" max="5891" width="13" style="14" customWidth="1"/>
    <col min="5892" max="5892" width="12.28515625" style="14" customWidth="1"/>
    <col min="5893" max="5893" width="13.5703125" style="14" customWidth="1"/>
    <col min="5894" max="5894" width="13.85546875" style="14" customWidth="1"/>
    <col min="5895" max="6144" width="8.85546875" style="14"/>
    <col min="6145" max="6145" width="27.7109375" style="14" customWidth="1"/>
    <col min="6146" max="6146" width="9.28515625" style="14" customWidth="1"/>
    <col min="6147" max="6147" width="13" style="14" customWidth="1"/>
    <col min="6148" max="6148" width="12.28515625" style="14" customWidth="1"/>
    <col min="6149" max="6149" width="13.5703125" style="14" customWidth="1"/>
    <col min="6150" max="6150" width="13.85546875" style="14" customWidth="1"/>
    <col min="6151" max="6400" width="8.85546875" style="14"/>
    <col min="6401" max="6401" width="27.7109375" style="14" customWidth="1"/>
    <col min="6402" max="6402" width="9.28515625" style="14" customWidth="1"/>
    <col min="6403" max="6403" width="13" style="14" customWidth="1"/>
    <col min="6404" max="6404" width="12.28515625" style="14" customWidth="1"/>
    <col min="6405" max="6405" width="13.5703125" style="14" customWidth="1"/>
    <col min="6406" max="6406" width="13.85546875" style="14" customWidth="1"/>
    <col min="6407" max="6656" width="8.85546875" style="14"/>
    <col min="6657" max="6657" width="27.7109375" style="14" customWidth="1"/>
    <col min="6658" max="6658" width="9.28515625" style="14" customWidth="1"/>
    <col min="6659" max="6659" width="13" style="14" customWidth="1"/>
    <col min="6660" max="6660" width="12.28515625" style="14" customWidth="1"/>
    <col min="6661" max="6661" width="13.5703125" style="14" customWidth="1"/>
    <col min="6662" max="6662" width="13.85546875" style="14" customWidth="1"/>
    <col min="6663" max="6912" width="8.85546875" style="14"/>
    <col min="6913" max="6913" width="27.7109375" style="14" customWidth="1"/>
    <col min="6914" max="6914" width="9.28515625" style="14" customWidth="1"/>
    <col min="6915" max="6915" width="13" style="14" customWidth="1"/>
    <col min="6916" max="6916" width="12.28515625" style="14" customWidth="1"/>
    <col min="6917" max="6917" width="13.5703125" style="14" customWidth="1"/>
    <col min="6918" max="6918" width="13.85546875" style="14" customWidth="1"/>
    <col min="6919" max="7168" width="8.85546875" style="14"/>
    <col min="7169" max="7169" width="27.7109375" style="14" customWidth="1"/>
    <col min="7170" max="7170" width="9.28515625" style="14" customWidth="1"/>
    <col min="7171" max="7171" width="13" style="14" customWidth="1"/>
    <col min="7172" max="7172" width="12.28515625" style="14" customWidth="1"/>
    <col min="7173" max="7173" width="13.5703125" style="14" customWidth="1"/>
    <col min="7174" max="7174" width="13.85546875" style="14" customWidth="1"/>
    <col min="7175" max="7424" width="8.85546875" style="14"/>
    <col min="7425" max="7425" width="27.7109375" style="14" customWidth="1"/>
    <col min="7426" max="7426" width="9.28515625" style="14" customWidth="1"/>
    <col min="7427" max="7427" width="13" style="14" customWidth="1"/>
    <col min="7428" max="7428" width="12.28515625" style="14" customWidth="1"/>
    <col min="7429" max="7429" width="13.5703125" style="14" customWidth="1"/>
    <col min="7430" max="7430" width="13.85546875" style="14" customWidth="1"/>
    <col min="7431" max="7680" width="8.85546875" style="14"/>
    <col min="7681" max="7681" width="27.7109375" style="14" customWidth="1"/>
    <col min="7682" max="7682" width="9.28515625" style="14" customWidth="1"/>
    <col min="7683" max="7683" width="13" style="14" customWidth="1"/>
    <col min="7684" max="7684" width="12.28515625" style="14" customWidth="1"/>
    <col min="7685" max="7685" width="13.5703125" style="14" customWidth="1"/>
    <col min="7686" max="7686" width="13.85546875" style="14" customWidth="1"/>
    <col min="7687" max="7936" width="8.85546875" style="14"/>
    <col min="7937" max="7937" width="27.7109375" style="14" customWidth="1"/>
    <col min="7938" max="7938" width="9.28515625" style="14" customWidth="1"/>
    <col min="7939" max="7939" width="13" style="14" customWidth="1"/>
    <col min="7940" max="7940" width="12.28515625" style="14" customWidth="1"/>
    <col min="7941" max="7941" width="13.5703125" style="14" customWidth="1"/>
    <col min="7942" max="7942" width="13.85546875" style="14" customWidth="1"/>
    <col min="7943" max="8192" width="8.85546875" style="14"/>
    <col min="8193" max="8193" width="27.7109375" style="14" customWidth="1"/>
    <col min="8194" max="8194" width="9.28515625" style="14" customWidth="1"/>
    <col min="8195" max="8195" width="13" style="14" customWidth="1"/>
    <col min="8196" max="8196" width="12.28515625" style="14" customWidth="1"/>
    <col min="8197" max="8197" width="13.5703125" style="14" customWidth="1"/>
    <col min="8198" max="8198" width="13.85546875" style="14" customWidth="1"/>
    <col min="8199" max="8448" width="8.85546875" style="14"/>
    <col min="8449" max="8449" width="27.7109375" style="14" customWidth="1"/>
    <col min="8450" max="8450" width="9.28515625" style="14" customWidth="1"/>
    <col min="8451" max="8451" width="13" style="14" customWidth="1"/>
    <col min="8452" max="8452" width="12.28515625" style="14" customWidth="1"/>
    <col min="8453" max="8453" width="13.5703125" style="14" customWidth="1"/>
    <col min="8454" max="8454" width="13.85546875" style="14" customWidth="1"/>
    <col min="8455" max="8704" width="8.85546875" style="14"/>
    <col min="8705" max="8705" width="27.7109375" style="14" customWidth="1"/>
    <col min="8706" max="8706" width="9.28515625" style="14" customWidth="1"/>
    <col min="8707" max="8707" width="13" style="14" customWidth="1"/>
    <col min="8708" max="8708" width="12.28515625" style="14" customWidth="1"/>
    <col min="8709" max="8709" width="13.5703125" style="14" customWidth="1"/>
    <col min="8710" max="8710" width="13.85546875" style="14" customWidth="1"/>
    <col min="8711" max="8960" width="8.85546875" style="14"/>
    <col min="8961" max="8961" width="27.7109375" style="14" customWidth="1"/>
    <col min="8962" max="8962" width="9.28515625" style="14" customWidth="1"/>
    <col min="8963" max="8963" width="13" style="14" customWidth="1"/>
    <col min="8964" max="8964" width="12.28515625" style="14" customWidth="1"/>
    <col min="8965" max="8965" width="13.5703125" style="14" customWidth="1"/>
    <col min="8966" max="8966" width="13.85546875" style="14" customWidth="1"/>
    <col min="8967" max="9216" width="8.85546875" style="14"/>
    <col min="9217" max="9217" width="27.7109375" style="14" customWidth="1"/>
    <col min="9218" max="9218" width="9.28515625" style="14" customWidth="1"/>
    <col min="9219" max="9219" width="13" style="14" customWidth="1"/>
    <col min="9220" max="9220" width="12.28515625" style="14" customWidth="1"/>
    <col min="9221" max="9221" width="13.5703125" style="14" customWidth="1"/>
    <col min="9222" max="9222" width="13.85546875" style="14" customWidth="1"/>
    <col min="9223" max="9472" width="8.85546875" style="14"/>
    <col min="9473" max="9473" width="27.7109375" style="14" customWidth="1"/>
    <col min="9474" max="9474" width="9.28515625" style="14" customWidth="1"/>
    <col min="9475" max="9475" width="13" style="14" customWidth="1"/>
    <col min="9476" max="9476" width="12.28515625" style="14" customWidth="1"/>
    <col min="9477" max="9477" width="13.5703125" style="14" customWidth="1"/>
    <col min="9478" max="9478" width="13.85546875" style="14" customWidth="1"/>
    <col min="9479" max="9728" width="8.85546875" style="14"/>
    <col min="9729" max="9729" width="27.7109375" style="14" customWidth="1"/>
    <col min="9730" max="9730" width="9.28515625" style="14" customWidth="1"/>
    <col min="9731" max="9731" width="13" style="14" customWidth="1"/>
    <col min="9732" max="9732" width="12.28515625" style="14" customWidth="1"/>
    <col min="9733" max="9733" width="13.5703125" style="14" customWidth="1"/>
    <col min="9734" max="9734" width="13.85546875" style="14" customWidth="1"/>
    <col min="9735" max="9984" width="8.85546875" style="14"/>
    <col min="9985" max="9985" width="27.7109375" style="14" customWidth="1"/>
    <col min="9986" max="9986" width="9.28515625" style="14" customWidth="1"/>
    <col min="9987" max="9987" width="13" style="14" customWidth="1"/>
    <col min="9988" max="9988" width="12.28515625" style="14" customWidth="1"/>
    <col min="9989" max="9989" width="13.5703125" style="14" customWidth="1"/>
    <col min="9990" max="9990" width="13.85546875" style="14" customWidth="1"/>
    <col min="9991" max="10240" width="8.85546875" style="14"/>
    <col min="10241" max="10241" width="27.7109375" style="14" customWidth="1"/>
    <col min="10242" max="10242" width="9.28515625" style="14" customWidth="1"/>
    <col min="10243" max="10243" width="13" style="14" customWidth="1"/>
    <col min="10244" max="10244" width="12.28515625" style="14" customWidth="1"/>
    <col min="10245" max="10245" width="13.5703125" style="14" customWidth="1"/>
    <col min="10246" max="10246" width="13.85546875" style="14" customWidth="1"/>
    <col min="10247" max="10496" width="8.85546875" style="14"/>
    <col min="10497" max="10497" width="27.7109375" style="14" customWidth="1"/>
    <col min="10498" max="10498" width="9.28515625" style="14" customWidth="1"/>
    <col min="10499" max="10499" width="13" style="14" customWidth="1"/>
    <col min="10500" max="10500" width="12.28515625" style="14" customWidth="1"/>
    <col min="10501" max="10501" width="13.5703125" style="14" customWidth="1"/>
    <col min="10502" max="10502" width="13.85546875" style="14" customWidth="1"/>
    <col min="10503" max="10752" width="8.85546875" style="14"/>
    <col min="10753" max="10753" width="27.7109375" style="14" customWidth="1"/>
    <col min="10754" max="10754" width="9.28515625" style="14" customWidth="1"/>
    <col min="10755" max="10755" width="13" style="14" customWidth="1"/>
    <col min="10756" max="10756" width="12.28515625" style="14" customWidth="1"/>
    <col min="10757" max="10757" width="13.5703125" style="14" customWidth="1"/>
    <col min="10758" max="10758" width="13.85546875" style="14" customWidth="1"/>
    <col min="10759" max="11008" width="8.85546875" style="14"/>
    <col min="11009" max="11009" width="27.7109375" style="14" customWidth="1"/>
    <col min="11010" max="11010" width="9.28515625" style="14" customWidth="1"/>
    <col min="11011" max="11011" width="13" style="14" customWidth="1"/>
    <col min="11012" max="11012" width="12.28515625" style="14" customWidth="1"/>
    <col min="11013" max="11013" width="13.5703125" style="14" customWidth="1"/>
    <col min="11014" max="11014" width="13.85546875" style="14" customWidth="1"/>
    <col min="11015" max="11264" width="8.85546875" style="14"/>
    <col min="11265" max="11265" width="27.7109375" style="14" customWidth="1"/>
    <col min="11266" max="11266" width="9.28515625" style="14" customWidth="1"/>
    <col min="11267" max="11267" width="13" style="14" customWidth="1"/>
    <col min="11268" max="11268" width="12.28515625" style="14" customWidth="1"/>
    <col min="11269" max="11269" width="13.5703125" style="14" customWidth="1"/>
    <col min="11270" max="11270" width="13.85546875" style="14" customWidth="1"/>
    <col min="11271" max="11520" width="8.85546875" style="14"/>
    <col min="11521" max="11521" width="27.7109375" style="14" customWidth="1"/>
    <col min="11522" max="11522" width="9.28515625" style="14" customWidth="1"/>
    <col min="11523" max="11523" width="13" style="14" customWidth="1"/>
    <col min="11524" max="11524" width="12.28515625" style="14" customWidth="1"/>
    <col min="11525" max="11525" width="13.5703125" style="14" customWidth="1"/>
    <col min="11526" max="11526" width="13.85546875" style="14" customWidth="1"/>
    <col min="11527" max="11776" width="8.85546875" style="14"/>
    <col min="11777" max="11777" width="27.7109375" style="14" customWidth="1"/>
    <col min="11778" max="11778" width="9.28515625" style="14" customWidth="1"/>
    <col min="11779" max="11779" width="13" style="14" customWidth="1"/>
    <col min="11780" max="11780" width="12.28515625" style="14" customWidth="1"/>
    <col min="11781" max="11781" width="13.5703125" style="14" customWidth="1"/>
    <col min="11782" max="11782" width="13.85546875" style="14" customWidth="1"/>
    <col min="11783" max="12032" width="8.85546875" style="14"/>
    <col min="12033" max="12033" width="27.7109375" style="14" customWidth="1"/>
    <col min="12034" max="12034" width="9.28515625" style="14" customWidth="1"/>
    <col min="12035" max="12035" width="13" style="14" customWidth="1"/>
    <col min="12036" max="12036" width="12.28515625" style="14" customWidth="1"/>
    <col min="12037" max="12037" width="13.5703125" style="14" customWidth="1"/>
    <col min="12038" max="12038" width="13.85546875" style="14" customWidth="1"/>
    <col min="12039" max="12288" width="8.85546875" style="14"/>
    <col min="12289" max="12289" width="27.7109375" style="14" customWidth="1"/>
    <col min="12290" max="12290" width="9.28515625" style="14" customWidth="1"/>
    <col min="12291" max="12291" width="13" style="14" customWidth="1"/>
    <col min="12292" max="12292" width="12.28515625" style="14" customWidth="1"/>
    <col min="12293" max="12293" width="13.5703125" style="14" customWidth="1"/>
    <col min="12294" max="12294" width="13.85546875" style="14" customWidth="1"/>
    <col min="12295" max="12544" width="8.85546875" style="14"/>
    <col min="12545" max="12545" width="27.7109375" style="14" customWidth="1"/>
    <col min="12546" max="12546" width="9.28515625" style="14" customWidth="1"/>
    <col min="12547" max="12547" width="13" style="14" customWidth="1"/>
    <col min="12548" max="12548" width="12.28515625" style="14" customWidth="1"/>
    <col min="12549" max="12549" width="13.5703125" style="14" customWidth="1"/>
    <col min="12550" max="12550" width="13.85546875" style="14" customWidth="1"/>
    <col min="12551" max="12800" width="8.85546875" style="14"/>
    <col min="12801" max="12801" width="27.7109375" style="14" customWidth="1"/>
    <col min="12802" max="12802" width="9.28515625" style="14" customWidth="1"/>
    <col min="12803" max="12803" width="13" style="14" customWidth="1"/>
    <col min="12804" max="12804" width="12.28515625" style="14" customWidth="1"/>
    <col min="12805" max="12805" width="13.5703125" style="14" customWidth="1"/>
    <col min="12806" max="12806" width="13.85546875" style="14" customWidth="1"/>
    <col min="12807" max="13056" width="8.85546875" style="14"/>
    <col min="13057" max="13057" width="27.7109375" style="14" customWidth="1"/>
    <col min="13058" max="13058" width="9.28515625" style="14" customWidth="1"/>
    <col min="13059" max="13059" width="13" style="14" customWidth="1"/>
    <col min="13060" max="13060" width="12.28515625" style="14" customWidth="1"/>
    <col min="13061" max="13061" width="13.5703125" style="14" customWidth="1"/>
    <col min="13062" max="13062" width="13.85546875" style="14" customWidth="1"/>
    <col min="13063" max="13312" width="8.85546875" style="14"/>
    <col min="13313" max="13313" width="27.7109375" style="14" customWidth="1"/>
    <col min="13314" max="13314" width="9.28515625" style="14" customWidth="1"/>
    <col min="13315" max="13315" width="13" style="14" customWidth="1"/>
    <col min="13316" max="13316" width="12.28515625" style="14" customWidth="1"/>
    <col min="13317" max="13317" width="13.5703125" style="14" customWidth="1"/>
    <col min="13318" max="13318" width="13.85546875" style="14" customWidth="1"/>
    <col min="13319" max="13568" width="8.85546875" style="14"/>
    <col min="13569" max="13569" width="27.7109375" style="14" customWidth="1"/>
    <col min="13570" max="13570" width="9.28515625" style="14" customWidth="1"/>
    <col min="13571" max="13571" width="13" style="14" customWidth="1"/>
    <col min="13572" max="13572" width="12.28515625" style="14" customWidth="1"/>
    <col min="13573" max="13573" width="13.5703125" style="14" customWidth="1"/>
    <col min="13574" max="13574" width="13.85546875" style="14" customWidth="1"/>
    <col min="13575" max="13824" width="8.85546875" style="14"/>
    <col min="13825" max="13825" width="27.7109375" style="14" customWidth="1"/>
    <col min="13826" max="13826" width="9.28515625" style="14" customWidth="1"/>
    <col min="13827" max="13827" width="13" style="14" customWidth="1"/>
    <col min="13828" max="13828" width="12.28515625" style="14" customWidth="1"/>
    <col min="13829" max="13829" width="13.5703125" style="14" customWidth="1"/>
    <col min="13830" max="13830" width="13.85546875" style="14" customWidth="1"/>
    <col min="13831" max="14080" width="8.85546875" style="14"/>
    <col min="14081" max="14081" width="27.7109375" style="14" customWidth="1"/>
    <col min="14082" max="14082" width="9.28515625" style="14" customWidth="1"/>
    <col min="14083" max="14083" width="13" style="14" customWidth="1"/>
    <col min="14084" max="14084" width="12.28515625" style="14" customWidth="1"/>
    <col min="14085" max="14085" width="13.5703125" style="14" customWidth="1"/>
    <col min="14086" max="14086" width="13.85546875" style="14" customWidth="1"/>
    <col min="14087" max="14336" width="8.85546875" style="14"/>
    <col min="14337" max="14337" width="27.7109375" style="14" customWidth="1"/>
    <col min="14338" max="14338" width="9.28515625" style="14" customWidth="1"/>
    <col min="14339" max="14339" width="13" style="14" customWidth="1"/>
    <col min="14340" max="14340" width="12.28515625" style="14" customWidth="1"/>
    <col min="14341" max="14341" width="13.5703125" style="14" customWidth="1"/>
    <col min="14342" max="14342" width="13.85546875" style="14" customWidth="1"/>
    <col min="14343" max="14592" width="8.85546875" style="14"/>
    <col min="14593" max="14593" width="27.7109375" style="14" customWidth="1"/>
    <col min="14594" max="14594" width="9.28515625" style="14" customWidth="1"/>
    <col min="14595" max="14595" width="13" style="14" customWidth="1"/>
    <col min="14596" max="14596" width="12.28515625" style="14" customWidth="1"/>
    <col min="14597" max="14597" width="13.5703125" style="14" customWidth="1"/>
    <col min="14598" max="14598" width="13.85546875" style="14" customWidth="1"/>
    <col min="14599" max="14848" width="8.85546875" style="14"/>
    <col min="14849" max="14849" width="27.7109375" style="14" customWidth="1"/>
    <col min="14850" max="14850" width="9.28515625" style="14" customWidth="1"/>
    <col min="14851" max="14851" width="13" style="14" customWidth="1"/>
    <col min="14852" max="14852" width="12.28515625" style="14" customWidth="1"/>
    <col min="14853" max="14853" width="13.5703125" style="14" customWidth="1"/>
    <col min="14854" max="14854" width="13.85546875" style="14" customWidth="1"/>
    <col min="14855" max="15104" width="8.85546875" style="14"/>
    <col min="15105" max="15105" width="27.7109375" style="14" customWidth="1"/>
    <col min="15106" max="15106" width="9.28515625" style="14" customWidth="1"/>
    <col min="15107" max="15107" width="13" style="14" customWidth="1"/>
    <col min="15108" max="15108" width="12.28515625" style="14" customWidth="1"/>
    <col min="15109" max="15109" width="13.5703125" style="14" customWidth="1"/>
    <col min="15110" max="15110" width="13.85546875" style="14" customWidth="1"/>
    <col min="15111" max="15360" width="8.85546875" style="14"/>
    <col min="15361" max="15361" width="27.7109375" style="14" customWidth="1"/>
    <col min="15362" max="15362" width="9.28515625" style="14" customWidth="1"/>
    <col min="15363" max="15363" width="13" style="14" customWidth="1"/>
    <col min="15364" max="15364" width="12.28515625" style="14" customWidth="1"/>
    <col min="15365" max="15365" width="13.5703125" style="14" customWidth="1"/>
    <col min="15366" max="15366" width="13.85546875" style="14" customWidth="1"/>
    <col min="15367" max="15616" width="8.85546875" style="14"/>
    <col min="15617" max="15617" width="27.7109375" style="14" customWidth="1"/>
    <col min="15618" max="15618" width="9.28515625" style="14" customWidth="1"/>
    <col min="15619" max="15619" width="13" style="14" customWidth="1"/>
    <col min="15620" max="15620" width="12.28515625" style="14" customWidth="1"/>
    <col min="15621" max="15621" width="13.5703125" style="14" customWidth="1"/>
    <col min="15622" max="15622" width="13.85546875" style="14" customWidth="1"/>
    <col min="15623" max="15872" width="8.85546875" style="14"/>
    <col min="15873" max="15873" width="27.7109375" style="14" customWidth="1"/>
    <col min="15874" max="15874" width="9.28515625" style="14" customWidth="1"/>
    <col min="15875" max="15875" width="13" style="14" customWidth="1"/>
    <col min="15876" max="15876" width="12.28515625" style="14" customWidth="1"/>
    <col min="15877" max="15877" width="13.5703125" style="14" customWidth="1"/>
    <col min="15878" max="15878" width="13.85546875" style="14" customWidth="1"/>
    <col min="15879" max="16128" width="8.85546875" style="14"/>
    <col min="16129" max="16129" width="27.7109375" style="14" customWidth="1"/>
    <col min="16130" max="16130" width="9.28515625" style="14" customWidth="1"/>
    <col min="16131" max="16131" width="13" style="14" customWidth="1"/>
    <col min="16132" max="16132" width="12.28515625" style="14" customWidth="1"/>
    <col min="16133" max="16133" width="13.5703125" style="14" customWidth="1"/>
    <col min="16134" max="16134" width="13.85546875" style="14" customWidth="1"/>
    <col min="16135" max="16384" width="8.85546875" style="14"/>
  </cols>
  <sheetData>
    <row r="1" spans="1:6" s="18" customFormat="1" x14ac:dyDescent="0.2">
      <c r="A1" s="564" t="s">
        <v>421</v>
      </c>
    </row>
    <row r="2" spans="1:6" s="18" customFormat="1" ht="56.45" customHeight="1" x14ac:dyDescent="0.2">
      <c r="A2" s="131" t="s">
        <v>71</v>
      </c>
      <c r="B2" s="131" t="s">
        <v>72</v>
      </c>
      <c r="C2" s="132" t="s">
        <v>334</v>
      </c>
      <c r="D2" s="99" t="s">
        <v>81</v>
      </c>
      <c r="E2" s="99" t="s">
        <v>75</v>
      </c>
      <c r="F2" s="152"/>
    </row>
    <row r="3" spans="1:6" s="18" customFormat="1" x14ac:dyDescent="0.2">
      <c r="A3" s="133" t="s">
        <v>82</v>
      </c>
      <c r="B3" s="134" t="s">
        <v>74</v>
      </c>
      <c r="C3" s="134">
        <v>30</v>
      </c>
      <c r="D3" s="135">
        <v>241.7</v>
      </c>
      <c r="E3" s="135">
        <f t="shared" ref="E3:E19" si="0">ROUND(C3*D3,2)</f>
        <v>7251</v>
      </c>
      <c r="F3" s="153"/>
    </row>
    <row r="4" spans="1:6" s="18" customFormat="1" x14ac:dyDescent="0.2">
      <c r="A4" s="133" t="s">
        <v>434</v>
      </c>
      <c r="B4" s="134" t="s">
        <v>73</v>
      </c>
      <c r="C4" s="134">
        <v>10</v>
      </c>
      <c r="D4" s="135">
        <v>59.3</v>
      </c>
      <c r="E4" s="135">
        <f t="shared" si="0"/>
        <v>593</v>
      </c>
      <c r="F4" s="153"/>
    </row>
    <row r="5" spans="1:6" s="18" customFormat="1" x14ac:dyDescent="0.2">
      <c r="A5" s="133" t="s">
        <v>83</v>
      </c>
      <c r="B5" s="134" t="s">
        <v>73</v>
      </c>
      <c r="C5" s="134">
        <v>3</v>
      </c>
      <c r="D5" s="135">
        <v>27.9</v>
      </c>
      <c r="E5" s="135">
        <f t="shared" si="0"/>
        <v>83.7</v>
      </c>
      <c r="F5" s="153"/>
    </row>
    <row r="6" spans="1:6" s="18" customFormat="1" x14ac:dyDescent="0.2">
      <c r="A6" s="133" t="s">
        <v>84</v>
      </c>
      <c r="B6" s="134" t="s">
        <v>73</v>
      </c>
      <c r="C6" s="134">
        <v>250</v>
      </c>
      <c r="D6" s="135">
        <v>1.9</v>
      </c>
      <c r="E6" s="135">
        <f t="shared" si="0"/>
        <v>475</v>
      </c>
      <c r="F6" s="153"/>
    </row>
    <row r="7" spans="1:6" s="18" customFormat="1" x14ac:dyDescent="0.2">
      <c r="A7" s="133" t="s">
        <v>76</v>
      </c>
      <c r="B7" s="134" t="s">
        <v>73</v>
      </c>
      <c r="C7" s="134">
        <v>30</v>
      </c>
      <c r="D7" s="135">
        <v>10.8</v>
      </c>
      <c r="E7" s="135">
        <f t="shared" si="0"/>
        <v>324</v>
      </c>
      <c r="F7" s="153"/>
    </row>
    <row r="8" spans="1:6" s="18" customFormat="1" x14ac:dyDescent="0.2">
      <c r="A8" s="133" t="s">
        <v>85</v>
      </c>
      <c r="B8" s="134" t="s">
        <v>86</v>
      </c>
      <c r="C8" s="134">
        <v>10</v>
      </c>
      <c r="D8" s="135">
        <v>14.5</v>
      </c>
      <c r="E8" s="135">
        <f t="shared" si="0"/>
        <v>145</v>
      </c>
      <c r="F8" s="153"/>
    </row>
    <row r="9" spans="1:6" s="18" customFormat="1" x14ac:dyDescent="0.2">
      <c r="A9" s="133" t="s">
        <v>78</v>
      </c>
      <c r="B9" s="134" t="s">
        <v>73</v>
      </c>
      <c r="C9" s="134">
        <v>50</v>
      </c>
      <c r="D9" s="135">
        <v>17.899999999999999</v>
      </c>
      <c r="E9" s="135">
        <f t="shared" si="0"/>
        <v>895</v>
      </c>
      <c r="F9" s="153"/>
    </row>
    <row r="10" spans="1:6" s="18" customFormat="1" x14ac:dyDescent="0.2">
      <c r="A10" s="133" t="s">
        <v>87</v>
      </c>
      <c r="B10" s="134" t="s">
        <v>73</v>
      </c>
      <c r="C10" s="134">
        <v>10</v>
      </c>
      <c r="D10" s="135">
        <v>6.1</v>
      </c>
      <c r="E10" s="135">
        <f t="shared" si="0"/>
        <v>61</v>
      </c>
      <c r="F10" s="153"/>
    </row>
    <row r="11" spans="1:6" s="18" customFormat="1" x14ac:dyDescent="0.2">
      <c r="A11" s="133" t="s">
        <v>77</v>
      </c>
      <c r="B11" s="134" t="s">
        <v>73</v>
      </c>
      <c r="C11" s="134">
        <f>C7</f>
        <v>30</v>
      </c>
      <c r="D11" s="135">
        <v>6</v>
      </c>
      <c r="E11" s="135">
        <f t="shared" si="0"/>
        <v>180</v>
      </c>
      <c r="F11" s="153"/>
    </row>
    <row r="12" spans="1:6" s="18" customFormat="1" x14ac:dyDescent="0.2">
      <c r="A12" s="133" t="s">
        <v>88</v>
      </c>
      <c r="B12" s="134" t="s">
        <v>89</v>
      </c>
      <c r="C12" s="134">
        <f>2+3</f>
        <v>5</v>
      </c>
      <c r="D12" s="135">
        <v>68.3</v>
      </c>
      <c r="E12" s="135">
        <f t="shared" si="0"/>
        <v>341.5</v>
      </c>
      <c r="F12" s="153"/>
    </row>
    <row r="13" spans="1:6" s="18" customFormat="1" x14ac:dyDescent="0.2">
      <c r="A13" s="133" t="s">
        <v>90</v>
      </c>
      <c r="B13" s="134" t="s">
        <v>73</v>
      </c>
      <c r="C13" s="134">
        <v>4</v>
      </c>
      <c r="D13" s="135">
        <v>10.5</v>
      </c>
      <c r="E13" s="135">
        <f t="shared" si="0"/>
        <v>42</v>
      </c>
      <c r="F13" s="153"/>
    </row>
    <row r="14" spans="1:6" s="18" customFormat="1" x14ac:dyDescent="0.2">
      <c r="A14" s="133" t="s">
        <v>91</v>
      </c>
      <c r="B14" s="134" t="s">
        <v>86</v>
      </c>
      <c r="C14" s="134">
        <v>6</v>
      </c>
      <c r="D14" s="135">
        <v>16.3</v>
      </c>
      <c r="E14" s="135">
        <f t="shared" si="0"/>
        <v>97.8</v>
      </c>
      <c r="F14" s="153"/>
    </row>
    <row r="15" spans="1:6" s="18" customFormat="1" x14ac:dyDescent="0.2">
      <c r="A15" s="133" t="s">
        <v>92</v>
      </c>
      <c r="B15" s="134" t="s">
        <v>73</v>
      </c>
      <c r="C15" s="134">
        <v>2</v>
      </c>
      <c r="D15" s="135">
        <v>27.7</v>
      </c>
      <c r="E15" s="135">
        <f t="shared" si="0"/>
        <v>55.4</v>
      </c>
      <c r="F15" s="153"/>
    </row>
    <row r="16" spans="1:6" s="18" customFormat="1" x14ac:dyDescent="0.2">
      <c r="A16" s="133" t="s">
        <v>93</v>
      </c>
      <c r="B16" s="134" t="s">
        <v>73</v>
      </c>
      <c r="C16" s="134">
        <v>5</v>
      </c>
      <c r="D16" s="135">
        <v>26.7</v>
      </c>
      <c r="E16" s="135">
        <f t="shared" si="0"/>
        <v>133.5</v>
      </c>
      <c r="F16" s="153"/>
    </row>
    <row r="17" spans="1:6" s="18" customFormat="1" x14ac:dyDescent="0.2">
      <c r="A17" s="133" t="s">
        <v>94</v>
      </c>
      <c r="B17" s="134" t="s">
        <v>73</v>
      </c>
      <c r="C17" s="134">
        <v>8</v>
      </c>
      <c r="D17" s="135">
        <v>49.5</v>
      </c>
      <c r="E17" s="135">
        <f t="shared" si="0"/>
        <v>396</v>
      </c>
      <c r="F17" s="153"/>
    </row>
    <row r="18" spans="1:6" s="18" customFormat="1" x14ac:dyDescent="0.2">
      <c r="A18" s="133" t="s">
        <v>95</v>
      </c>
      <c r="B18" s="134" t="s">
        <v>73</v>
      </c>
      <c r="C18" s="134">
        <v>4</v>
      </c>
      <c r="D18" s="135">
        <v>67.3</v>
      </c>
      <c r="E18" s="135">
        <f t="shared" si="0"/>
        <v>269.2</v>
      </c>
      <c r="F18" s="153"/>
    </row>
    <row r="19" spans="1:6" s="18" customFormat="1" ht="13.5" thickBot="1" x14ac:dyDescent="0.25">
      <c r="A19" s="136" t="s">
        <v>79</v>
      </c>
      <c r="B19" s="137" t="s">
        <v>73</v>
      </c>
      <c r="C19" s="137">
        <v>4</v>
      </c>
      <c r="D19" s="95">
        <v>350</v>
      </c>
      <c r="E19" s="135">
        <f t="shared" si="0"/>
        <v>1400</v>
      </c>
      <c r="F19" s="153"/>
    </row>
    <row r="20" spans="1:6" ht="15" thickBot="1" x14ac:dyDescent="0.25">
      <c r="A20" s="80" t="s">
        <v>178</v>
      </c>
      <c r="B20" s="81"/>
      <c r="C20" s="82"/>
      <c r="D20" s="83"/>
      <c r="E20" s="84">
        <f>SUM(E3:E19)</f>
        <v>12743.1</v>
      </c>
      <c r="F20" s="262"/>
    </row>
    <row r="22" spans="1:6" ht="111.75" customHeight="1" x14ac:dyDescent="0.2">
      <c r="A22" s="260" t="s">
        <v>132</v>
      </c>
      <c r="B22" s="221" t="str">
        <f>Подписка!B7</f>
        <v xml:space="preserve">Нормативная численность обучающихся </v>
      </c>
      <c r="C22" s="398" t="s">
        <v>333</v>
      </c>
      <c r="D22" s="379" t="s">
        <v>322</v>
      </c>
      <c r="E22" s="373" t="s">
        <v>25</v>
      </c>
    </row>
    <row r="23" spans="1:6" x14ac:dyDescent="0.2">
      <c r="A23" s="46" t="str">
        <f>Подписка!A8</f>
        <v>МАДОУ ЦРР-детский сад № 2</v>
      </c>
      <c r="B23" s="67">
        <f>Подписка!B8</f>
        <v>506</v>
      </c>
      <c r="C23" s="399">
        <v>1</v>
      </c>
      <c r="D23" s="400">
        <f>ROUND(C23/B23,3)</f>
        <v>2E-3</v>
      </c>
      <c r="E23" s="402">
        <f t="shared" ref="E23:E31" si="1">$E$20</f>
        <v>12743.1</v>
      </c>
    </row>
    <row r="24" spans="1:6" x14ac:dyDescent="0.2">
      <c r="A24" s="46" t="str">
        <f>Подписка!A9</f>
        <v>МАДОУ ЦРР-детский сад № 11</v>
      </c>
      <c r="B24" s="67">
        <f>Подписка!B9</f>
        <v>559</v>
      </c>
      <c r="C24" s="399">
        <v>1</v>
      </c>
      <c r="D24" s="400">
        <f t="shared" ref="D24:D31" si="2">ROUND(C24/B24,3)</f>
        <v>2E-3</v>
      </c>
      <c r="E24" s="402">
        <f t="shared" si="1"/>
        <v>12743.1</v>
      </c>
    </row>
    <row r="25" spans="1:6" x14ac:dyDescent="0.2">
      <c r="A25" s="46" t="str">
        <f>Подписка!A10</f>
        <v>МАДОУ ЦРР-детский сад № 13</v>
      </c>
      <c r="B25" s="67">
        <f>Подписка!B10</f>
        <v>633</v>
      </c>
      <c r="C25" s="399">
        <v>1</v>
      </c>
      <c r="D25" s="400">
        <f t="shared" si="2"/>
        <v>2E-3</v>
      </c>
      <c r="E25" s="402">
        <f t="shared" si="1"/>
        <v>12743.1</v>
      </c>
    </row>
    <row r="26" spans="1:6" x14ac:dyDescent="0.2">
      <c r="A26" s="46" t="str">
        <f>Подписка!A11</f>
        <v>МАОУ СОШ № 1 структурное подразделение</v>
      </c>
      <c r="B26" s="67">
        <f>Подписка!B11</f>
        <v>381</v>
      </c>
      <c r="C26" s="399">
        <v>1</v>
      </c>
      <c r="D26" s="400">
        <f t="shared" si="2"/>
        <v>3.0000000000000001E-3</v>
      </c>
      <c r="E26" s="402">
        <f t="shared" si="1"/>
        <v>12743.1</v>
      </c>
    </row>
    <row r="27" spans="1:6" ht="25.5" x14ac:dyDescent="0.2">
      <c r="A27" s="46" t="str">
        <f>Подписка!A12</f>
        <v>МАОУ СОШ № 2 им.М.И.Грибушина структурное подразделение</v>
      </c>
      <c r="B27" s="67">
        <f>Подписка!B12</f>
        <v>288</v>
      </c>
      <c r="C27" s="399">
        <v>1</v>
      </c>
      <c r="D27" s="400">
        <f t="shared" si="2"/>
        <v>3.0000000000000001E-3</v>
      </c>
      <c r="E27" s="402">
        <f t="shared" si="1"/>
        <v>12743.1</v>
      </c>
    </row>
    <row r="28" spans="1:6" x14ac:dyDescent="0.2">
      <c r="A28" s="46" t="str">
        <f>Подписка!A13</f>
        <v>МАОУ СОШ № 10 структурное подразделение</v>
      </c>
      <c r="B28" s="67">
        <f>Подписка!B13</f>
        <v>262</v>
      </c>
      <c r="C28" s="399">
        <v>1</v>
      </c>
      <c r="D28" s="400">
        <f t="shared" si="2"/>
        <v>4.0000000000000001E-3</v>
      </c>
      <c r="E28" s="402">
        <f t="shared" si="1"/>
        <v>12743.1</v>
      </c>
    </row>
    <row r="29" spans="1:6" x14ac:dyDescent="0.2">
      <c r="A29" s="46" t="str">
        <f>Подписка!A14</f>
        <v>МАОУ СОШ № 13 структурное подразделение</v>
      </c>
      <c r="B29" s="67">
        <f>Подписка!B14</f>
        <v>224</v>
      </c>
      <c r="C29" s="399">
        <v>1</v>
      </c>
      <c r="D29" s="400">
        <f t="shared" si="2"/>
        <v>4.0000000000000001E-3</v>
      </c>
      <c r="E29" s="402">
        <f t="shared" si="1"/>
        <v>12743.1</v>
      </c>
    </row>
    <row r="30" spans="1:6" x14ac:dyDescent="0.2">
      <c r="A30" s="46" t="str">
        <f>Подписка!A15</f>
        <v>Гимназия № 16 структурное подразделение</v>
      </c>
      <c r="B30" s="67">
        <f>Подписка!B15</f>
        <v>456</v>
      </c>
      <c r="C30" s="399">
        <v>1</v>
      </c>
      <c r="D30" s="400">
        <f t="shared" si="2"/>
        <v>2E-3</v>
      </c>
      <c r="E30" s="402">
        <f t="shared" si="1"/>
        <v>12743.1</v>
      </c>
    </row>
    <row r="31" spans="1:6" ht="26.25" thickBot="1" x14ac:dyDescent="0.25">
      <c r="A31" s="46" t="str">
        <f>Подписка!A16</f>
        <v>МАОУ ООШ № 17 с кадетскими классами структурное подразделение</v>
      </c>
      <c r="B31" s="67">
        <f>Подписка!B16</f>
        <v>189</v>
      </c>
      <c r="C31" s="399">
        <v>1</v>
      </c>
      <c r="D31" s="400">
        <f t="shared" si="2"/>
        <v>5.0000000000000001E-3</v>
      </c>
      <c r="E31" s="402">
        <f t="shared" si="1"/>
        <v>12743.1</v>
      </c>
    </row>
    <row r="32" spans="1:6" ht="13.5" thickBot="1" x14ac:dyDescent="0.25">
      <c r="A32" s="71" t="s">
        <v>1</v>
      </c>
      <c r="B32" s="296">
        <f>SUM(B23:B31)</f>
        <v>3498</v>
      </c>
      <c r="C32" s="397"/>
      <c r="D32" s="401">
        <f>ROUND(MEDIAN(D23:D31),3)</f>
        <v>3.0000000000000001E-3</v>
      </c>
      <c r="E32" s="121">
        <f>SUM(E23:E31)</f>
        <v>114687.90000000002</v>
      </c>
    </row>
    <row r="33" spans="3:5" x14ac:dyDescent="0.2">
      <c r="C33" s="138" t="s">
        <v>234</v>
      </c>
      <c r="D33" s="140"/>
      <c r="E33" s="141">
        <f>ROUND(D32*E20,2)</f>
        <v>38.229999999999997</v>
      </c>
    </row>
  </sheetData>
  <pageMargins left="0.75" right="0.75" top="1" bottom="1" header="0.5" footer="0.5"/>
  <pageSetup paperSize="9" scale="88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/>
  <dimension ref="A2:K28"/>
  <sheetViews>
    <sheetView zoomScale="110" zoomScaleNormal="110" workbookViewId="0">
      <selection activeCell="I22" sqref="I22"/>
    </sheetView>
  </sheetViews>
  <sheetFormatPr defaultRowHeight="12.75" x14ac:dyDescent="0.2"/>
  <cols>
    <col min="1" max="1" width="36.42578125" style="1" customWidth="1"/>
    <col min="2" max="3" width="10.140625" style="1" customWidth="1"/>
    <col min="4" max="4" width="11.7109375" style="1" customWidth="1"/>
    <col min="5" max="5" width="14.42578125" style="1" customWidth="1"/>
    <col min="6" max="6" width="12" style="1" customWidth="1"/>
    <col min="7" max="7" width="31.28515625" style="1" customWidth="1"/>
    <col min="8" max="8" width="10.140625" style="1" customWidth="1"/>
    <col min="9" max="9" width="7.7109375" style="1" customWidth="1"/>
    <col min="10" max="10" width="9.140625" style="1"/>
    <col min="11" max="11" width="14.42578125" style="1" customWidth="1"/>
    <col min="12" max="256" width="9.140625" style="1"/>
    <col min="257" max="257" width="27.5703125" style="1" customWidth="1"/>
    <col min="258" max="258" width="9.140625" style="1"/>
    <col min="259" max="259" width="15.7109375" style="1" customWidth="1"/>
    <col min="260" max="260" width="9.140625" style="1"/>
    <col min="261" max="261" width="14.42578125" style="1" customWidth="1"/>
    <col min="262" max="262" width="12" style="1" customWidth="1"/>
    <col min="263" max="512" width="9.140625" style="1"/>
    <col min="513" max="513" width="27.5703125" style="1" customWidth="1"/>
    <col min="514" max="514" width="9.140625" style="1"/>
    <col min="515" max="515" width="15.7109375" style="1" customWidth="1"/>
    <col min="516" max="516" width="9.140625" style="1"/>
    <col min="517" max="517" width="14.42578125" style="1" customWidth="1"/>
    <col min="518" max="518" width="12" style="1" customWidth="1"/>
    <col min="519" max="768" width="9.140625" style="1"/>
    <col min="769" max="769" width="27.5703125" style="1" customWidth="1"/>
    <col min="770" max="770" width="9.140625" style="1"/>
    <col min="771" max="771" width="15.7109375" style="1" customWidth="1"/>
    <col min="772" max="772" width="9.140625" style="1"/>
    <col min="773" max="773" width="14.42578125" style="1" customWidth="1"/>
    <col min="774" max="774" width="12" style="1" customWidth="1"/>
    <col min="775" max="1024" width="9.140625" style="1"/>
    <col min="1025" max="1025" width="27.5703125" style="1" customWidth="1"/>
    <col min="1026" max="1026" width="9.140625" style="1"/>
    <col min="1027" max="1027" width="15.7109375" style="1" customWidth="1"/>
    <col min="1028" max="1028" width="9.140625" style="1"/>
    <col min="1029" max="1029" width="14.42578125" style="1" customWidth="1"/>
    <col min="1030" max="1030" width="12" style="1" customWidth="1"/>
    <col min="1031" max="1280" width="9.140625" style="1"/>
    <col min="1281" max="1281" width="27.5703125" style="1" customWidth="1"/>
    <col min="1282" max="1282" width="9.140625" style="1"/>
    <col min="1283" max="1283" width="15.7109375" style="1" customWidth="1"/>
    <col min="1284" max="1284" width="9.140625" style="1"/>
    <col min="1285" max="1285" width="14.42578125" style="1" customWidth="1"/>
    <col min="1286" max="1286" width="12" style="1" customWidth="1"/>
    <col min="1287" max="1536" width="9.140625" style="1"/>
    <col min="1537" max="1537" width="27.5703125" style="1" customWidth="1"/>
    <col min="1538" max="1538" width="9.140625" style="1"/>
    <col min="1539" max="1539" width="15.7109375" style="1" customWidth="1"/>
    <col min="1540" max="1540" width="9.140625" style="1"/>
    <col min="1541" max="1541" width="14.42578125" style="1" customWidth="1"/>
    <col min="1542" max="1542" width="12" style="1" customWidth="1"/>
    <col min="1543" max="1792" width="9.140625" style="1"/>
    <col min="1793" max="1793" width="27.5703125" style="1" customWidth="1"/>
    <col min="1794" max="1794" width="9.140625" style="1"/>
    <col min="1795" max="1795" width="15.7109375" style="1" customWidth="1"/>
    <col min="1796" max="1796" width="9.140625" style="1"/>
    <col min="1797" max="1797" width="14.42578125" style="1" customWidth="1"/>
    <col min="1798" max="1798" width="12" style="1" customWidth="1"/>
    <col min="1799" max="2048" width="9.140625" style="1"/>
    <col min="2049" max="2049" width="27.5703125" style="1" customWidth="1"/>
    <col min="2050" max="2050" width="9.140625" style="1"/>
    <col min="2051" max="2051" width="15.7109375" style="1" customWidth="1"/>
    <col min="2052" max="2052" width="9.140625" style="1"/>
    <col min="2053" max="2053" width="14.42578125" style="1" customWidth="1"/>
    <col min="2054" max="2054" width="12" style="1" customWidth="1"/>
    <col min="2055" max="2304" width="9.140625" style="1"/>
    <col min="2305" max="2305" width="27.5703125" style="1" customWidth="1"/>
    <col min="2306" max="2306" width="9.140625" style="1"/>
    <col min="2307" max="2307" width="15.7109375" style="1" customWidth="1"/>
    <col min="2308" max="2308" width="9.140625" style="1"/>
    <col min="2309" max="2309" width="14.42578125" style="1" customWidth="1"/>
    <col min="2310" max="2310" width="12" style="1" customWidth="1"/>
    <col min="2311" max="2560" width="9.140625" style="1"/>
    <col min="2561" max="2561" width="27.5703125" style="1" customWidth="1"/>
    <col min="2562" max="2562" width="9.140625" style="1"/>
    <col min="2563" max="2563" width="15.7109375" style="1" customWidth="1"/>
    <col min="2564" max="2564" width="9.140625" style="1"/>
    <col min="2565" max="2565" width="14.42578125" style="1" customWidth="1"/>
    <col min="2566" max="2566" width="12" style="1" customWidth="1"/>
    <col min="2567" max="2816" width="9.140625" style="1"/>
    <col min="2817" max="2817" width="27.5703125" style="1" customWidth="1"/>
    <col min="2818" max="2818" width="9.140625" style="1"/>
    <col min="2819" max="2819" width="15.7109375" style="1" customWidth="1"/>
    <col min="2820" max="2820" width="9.140625" style="1"/>
    <col min="2821" max="2821" width="14.42578125" style="1" customWidth="1"/>
    <col min="2822" max="2822" width="12" style="1" customWidth="1"/>
    <col min="2823" max="3072" width="9.140625" style="1"/>
    <col min="3073" max="3073" width="27.5703125" style="1" customWidth="1"/>
    <col min="3074" max="3074" width="9.140625" style="1"/>
    <col min="3075" max="3075" width="15.7109375" style="1" customWidth="1"/>
    <col min="3076" max="3076" width="9.140625" style="1"/>
    <col min="3077" max="3077" width="14.42578125" style="1" customWidth="1"/>
    <col min="3078" max="3078" width="12" style="1" customWidth="1"/>
    <col min="3079" max="3328" width="9.140625" style="1"/>
    <col min="3329" max="3329" width="27.5703125" style="1" customWidth="1"/>
    <col min="3330" max="3330" width="9.140625" style="1"/>
    <col min="3331" max="3331" width="15.7109375" style="1" customWidth="1"/>
    <col min="3332" max="3332" width="9.140625" style="1"/>
    <col min="3333" max="3333" width="14.42578125" style="1" customWidth="1"/>
    <col min="3334" max="3334" width="12" style="1" customWidth="1"/>
    <col min="3335" max="3584" width="9.140625" style="1"/>
    <col min="3585" max="3585" width="27.5703125" style="1" customWidth="1"/>
    <col min="3586" max="3586" width="9.140625" style="1"/>
    <col min="3587" max="3587" width="15.7109375" style="1" customWidth="1"/>
    <col min="3588" max="3588" width="9.140625" style="1"/>
    <col min="3589" max="3589" width="14.42578125" style="1" customWidth="1"/>
    <col min="3590" max="3590" width="12" style="1" customWidth="1"/>
    <col min="3591" max="3840" width="9.140625" style="1"/>
    <col min="3841" max="3841" width="27.5703125" style="1" customWidth="1"/>
    <col min="3842" max="3842" width="9.140625" style="1"/>
    <col min="3843" max="3843" width="15.7109375" style="1" customWidth="1"/>
    <col min="3844" max="3844" width="9.140625" style="1"/>
    <col min="3845" max="3845" width="14.42578125" style="1" customWidth="1"/>
    <col min="3846" max="3846" width="12" style="1" customWidth="1"/>
    <col min="3847" max="4096" width="9.140625" style="1"/>
    <col min="4097" max="4097" width="27.5703125" style="1" customWidth="1"/>
    <col min="4098" max="4098" width="9.140625" style="1"/>
    <col min="4099" max="4099" width="15.7109375" style="1" customWidth="1"/>
    <col min="4100" max="4100" width="9.140625" style="1"/>
    <col min="4101" max="4101" width="14.42578125" style="1" customWidth="1"/>
    <col min="4102" max="4102" width="12" style="1" customWidth="1"/>
    <col min="4103" max="4352" width="9.140625" style="1"/>
    <col min="4353" max="4353" width="27.5703125" style="1" customWidth="1"/>
    <col min="4354" max="4354" width="9.140625" style="1"/>
    <col min="4355" max="4355" width="15.7109375" style="1" customWidth="1"/>
    <col min="4356" max="4356" width="9.140625" style="1"/>
    <col min="4357" max="4357" width="14.42578125" style="1" customWidth="1"/>
    <col min="4358" max="4358" width="12" style="1" customWidth="1"/>
    <col min="4359" max="4608" width="9.140625" style="1"/>
    <col min="4609" max="4609" width="27.5703125" style="1" customWidth="1"/>
    <col min="4610" max="4610" width="9.140625" style="1"/>
    <col min="4611" max="4611" width="15.7109375" style="1" customWidth="1"/>
    <col min="4612" max="4612" width="9.140625" style="1"/>
    <col min="4613" max="4613" width="14.42578125" style="1" customWidth="1"/>
    <col min="4614" max="4614" width="12" style="1" customWidth="1"/>
    <col min="4615" max="4864" width="9.140625" style="1"/>
    <col min="4865" max="4865" width="27.5703125" style="1" customWidth="1"/>
    <col min="4866" max="4866" width="9.140625" style="1"/>
    <col min="4867" max="4867" width="15.7109375" style="1" customWidth="1"/>
    <col min="4868" max="4868" width="9.140625" style="1"/>
    <col min="4869" max="4869" width="14.42578125" style="1" customWidth="1"/>
    <col min="4870" max="4870" width="12" style="1" customWidth="1"/>
    <col min="4871" max="5120" width="9.140625" style="1"/>
    <col min="5121" max="5121" width="27.5703125" style="1" customWidth="1"/>
    <col min="5122" max="5122" width="9.140625" style="1"/>
    <col min="5123" max="5123" width="15.7109375" style="1" customWidth="1"/>
    <col min="5124" max="5124" width="9.140625" style="1"/>
    <col min="5125" max="5125" width="14.42578125" style="1" customWidth="1"/>
    <col min="5126" max="5126" width="12" style="1" customWidth="1"/>
    <col min="5127" max="5376" width="9.140625" style="1"/>
    <col min="5377" max="5377" width="27.5703125" style="1" customWidth="1"/>
    <col min="5378" max="5378" width="9.140625" style="1"/>
    <col min="5379" max="5379" width="15.7109375" style="1" customWidth="1"/>
    <col min="5380" max="5380" width="9.140625" style="1"/>
    <col min="5381" max="5381" width="14.42578125" style="1" customWidth="1"/>
    <col min="5382" max="5382" width="12" style="1" customWidth="1"/>
    <col min="5383" max="5632" width="9.140625" style="1"/>
    <col min="5633" max="5633" width="27.5703125" style="1" customWidth="1"/>
    <col min="5634" max="5634" width="9.140625" style="1"/>
    <col min="5635" max="5635" width="15.7109375" style="1" customWidth="1"/>
    <col min="5636" max="5636" width="9.140625" style="1"/>
    <col min="5637" max="5637" width="14.42578125" style="1" customWidth="1"/>
    <col min="5638" max="5638" width="12" style="1" customWidth="1"/>
    <col min="5639" max="5888" width="9.140625" style="1"/>
    <col min="5889" max="5889" width="27.5703125" style="1" customWidth="1"/>
    <col min="5890" max="5890" width="9.140625" style="1"/>
    <col min="5891" max="5891" width="15.7109375" style="1" customWidth="1"/>
    <col min="5892" max="5892" width="9.140625" style="1"/>
    <col min="5893" max="5893" width="14.42578125" style="1" customWidth="1"/>
    <col min="5894" max="5894" width="12" style="1" customWidth="1"/>
    <col min="5895" max="6144" width="9.140625" style="1"/>
    <col min="6145" max="6145" width="27.5703125" style="1" customWidth="1"/>
    <col min="6146" max="6146" width="9.140625" style="1"/>
    <col min="6147" max="6147" width="15.7109375" style="1" customWidth="1"/>
    <col min="6148" max="6148" width="9.140625" style="1"/>
    <col min="6149" max="6149" width="14.42578125" style="1" customWidth="1"/>
    <col min="6150" max="6150" width="12" style="1" customWidth="1"/>
    <col min="6151" max="6400" width="9.140625" style="1"/>
    <col min="6401" max="6401" width="27.5703125" style="1" customWidth="1"/>
    <col min="6402" max="6402" width="9.140625" style="1"/>
    <col min="6403" max="6403" width="15.7109375" style="1" customWidth="1"/>
    <col min="6404" max="6404" width="9.140625" style="1"/>
    <col min="6405" max="6405" width="14.42578125" style="1" customWidth="1"/>
    <col min="6406" max="6406" width="12" style="1" customWidth="1"/>
    <col min="6407" max="6656" width="9.140625" style="1"/>
    <col min="6657" max="6657" width="27.5703125" style="1" customWidth="1"/>
    <col min="6658" max="6658" width="9.140625" style="1"/>
    <col min="6659" max="6659" width="15.7109375" style="1" customWidth="1"/>
    <col min="6660" max="6660" width="9.140625" style="1"/>
    <col min="6661" max="6661" width="14.42578125" style="1" customWidth="1"/>
    <col min="6662" max="6662" width="12" style="1" customWidth="1"/>
    <col min="6663" max="6912" width="9.140625" style="1"/>
    <col min="6913" max="6913" width="27.5703125" style="1" customWidth="1"/>
    <col min="6914" max="6914" width="9.140625" style="1"/>
    <col min="6915" max="6915" width="15.7109375" style="1" customWidth="1"/>
    <col min="6916" max="6916" width="9.140625" style="1"/>
    <col min="6917" max="6917" width="14.42578125" style="1" customWidth="1"/>
    <col min="6918" max="6918" width="12" style="1" customWidth="1"/>
    <col min="6919" max="7168" width="9.140625" style="1"/>
    <col min="7169" max="7169" width="27.5703125" style="1" customWidth="1"/>
    <col min="7170" max="7170" width="9.140625" style="1"/>
    <col min="7171" max="7171" width="15.7109375" style="1" customWidth="1"/>
    <col min="7172" max="7172" width="9.140625" style="1"/>
    <col min="7173" max="7173" width="14.42578125" style="1" customWidth="1"/>
    <col min="7174" max="7174" width="12" style="1" customWidth="1"/>
    <col min="7175" max="7424" width="9.140625" style="1"/>
    <col min="7425" max="7425" width="27.5703125" style="1" customWidth="1"/>
    <col min="7426" max="7426" width="9.140625" style="1"/>
    <col min="7427" max="7427" width="15.7109375" style="1" customWidth="1"/>
    <col min="7428" max="7428" width="9.140625" style="1"/>
    <col min="7429" max="7429" width="14.42578125" style="1" customWidth="1"/>
    <col min="7430" max="7430" width="12" style="1" customWidth="1"/>
    <col min="7431" max="7680" width="9.140625" style="1"/>
    <col min="7681" max="7681" width="27.5703125" style="1" customWidth="1"/>
    <col min="7682" max="7682" width="9.140625" style="1"/>
    <col min="7683" max="7683" width="15.7109375" style="1" customWidth="1"/>
    <col min="7684" max="7684" width="9.140625" style="1"/>
    <col min="7685" max="7685" width="14.42578125" style="1" customWidth="1"/>
    <col min="7686" max="7686" width="12" style="1" customWidth="1"/>
    <col min="7687" max="7936" width="9.140625" style="1"/>
    <col min="7937" max="7937" width="27.5703125" style="1" customWidth="1"/>
    <col min="7938" max="7938" width="9.140625" style="1"/>
    <col min="7939" max="7939" width="15.7109375" style="1" customWidth="1"/>
    <col min="7940" max="7940" width="9.140625" style="1"/>
    <col min="7941" max="7941" width="14.42578125" style="1" customWidth="1"/>
    <col min="7942" max="7942" width="12" style="1" customWidth="1"/>
    <col min="7943" max="8192" width="9.140625" style="1"/>
    <col min="8193" max="8193" width="27.5703125" style="1" customWidth="1"/>
    <col min="8194" max="8194" width="9.140625" style="1"/>
    <col min="8195" max="8195" width="15.7109375" style="1" customWidth="1"/>
    <col min="8196" max="8196" width="9.140625" style="1"/>
    <col min="8197" max="8197" width="14.42578125" style="1" customWidth="1"/>
    <col min="8198" max="8198" width="12" style="1" customWidth="1"/>
    <col min="8199" max="8448" width="9.140625" style="1"/>
    <col min="8449" max="8449" width="27.5703125" style="1" customWidth="1"/>
    <col min="8450" max="8450" width="9.140625" style="1"/>
    <col min="8451" max="8451" width="15.7109375" style="1" customWidth="1"/>
    <col min="8452" max="8452" width="9.140625" style="1"/>
    <col min="8453" max="8453" width="14.42578125" style="1" customWidth="1"/>
    <col min="8454" max="8454" width="12" style="1" customWidth="1"/>
    <col min="8455" max="8704" width="9.140625" style="1"/>
    <col min="8705" max="8705" width="27.5703125" style="1" customWidth="1"/>
    <col min="8706" max="8706" width="9.140625" style="1"/>
    <col min="8707" max="8707" width="15.7109375" style="1" customWidth="1"/>
    <col min="8708" max="8708" width="9.140625" style="1"/>
    <col min="8709" max="8709" width="14.42578125" style="1" customWidth="1"/>
    <col min="8710" max="8710" width="12" style="1" customWidth="1"/>
    <col min="8711" max="8960" width="9.140625" style="1"/>
    <col min="8961" max="8961" width="27.5703125" style="1" customWidth="1"/>
    <col min="8962" max="8962" width="9.140625" style="1"/>
    <col min="8963" max="8963" width="15.7109375" style="1" customWidth="1"/>
    <col min="8964" max="8964" width="9.140625" style="1"/>
    <col min="8965" max="8965" width="14.42578125" style="1" customWidth="1"/>
    <col min="8966" max="8966" width="12" style="1" customWidth="1"/>
    <col min="8967" max="9216" width="9.140625" style="1"/>
    <col min="9217" max="9217" width="27.5703125" style="1" customWidth="1"/>
    <col min="9218" max="9218" width="9.140625" style="1"/>
    <col min="9219" max="9219" width="15.7109375" style="1" customWidth="1"/>
    <col min="9220" max="9220" width="9.140625" style="1"/>
    <col min="9221" max="9221" width="14.42578125" style="1" customWidth="1"/>
    <col min="9222" max="9222" width="12" style="1" customWidth="1"/>
    <col min="9223" max="9472" width="9.140625" style="1"/>
    <col min="9473" max="9473" width="27.5703125" style="1" customWidth="1"/>
    <col min="9474" max="9474" width="9.140625" style="1"/>
    <col min="9475" max="9475" width="15.7109375" style="1" customWidth="1"/>
    <col min="9476" max="9476" width="9.140625" style="1"/>
    <col min="9477" max="9477" width="14.42578125" style="1" customWidth="1"/>
    <col min="9478" max="9478" width="12" style="1" customWidth="1"/>
    <col min="9479" max="9728" width="9.140625" style="1"/>
    <col min="9729" max="9729" width="27.5703125" style="1" customWidth="1"/>
    <col min="9730" max="9730" width="9.140625" style="1"/>
    <col min="9731" max="9731" width="15.7109375" style="1" customWidth="1"/>
    <col min="9732" max="9732" width="9.140625" style="1"/>
    <col min="9733" max="9733" width="14.42578125" style="1" customWidth="1"/>
    <col min="9734" max="9734" width="12" style="1" customWidth="1"/>
    <col min="9735" max="9984" width="9.140625" style="1"/>
    <col min="9985" max="9985" width="27.5703125" style="1" customWidth="1"/>
    <col min="9986" max="9986" width="9.140625" style="1"/>
    <col min="9987" max="9987" width="15.7109375" style="1" customWidth="1"/>
    <col min="9988" max="9988" width="9.140625" style="1"/>
    <col min="9989" max="9989" width="14.42578125" style="1" customWidth="1"/>
    <col min="9990" max="9990" width="12" style="1" customWidth="1"/>
    <col min="9991" max="10240" width="9.140625" style="1"/>
    <col min="10241" max="10241" width="27.5703125" style="1" customWidth="1"/>
    <col min="10242" max="10242" width="9.140625" style="1"/>
    <col min="10243" max="10243" width="15.7109375" style="1" customWidth="1"/>
    <col min="10244" max="10244" width="9.140625" style="1"/>
    <col min="10245" max="10245" width="14.42578125" style="1" customWidth="1"/>
    <col min="10246" max="10246" width="12" style="1" customWidth="1"/>
    <col min="10247" max="10496" width="9.140625" style="1"/>
    <col min="10497" max="10497" width="27.5703125" style="1" customWidth="1"/>
    <col min="10498" max="10498" width="9.140625" style="1"/>
    <col min="10499" max="10499" width="15.7109375" style="1" customWidth="1"/>
    <col min="10500" max="10500" width="9.140625" style="1"/>
    <col min="10501" max="10501" width="14.42578125" style="1" customWidth="1"/>
    <col min="10502" max="10502" width="12" style="1" customWidth="1"/>
    <col min="10503" max="10752" width="9.140625" style="1"/>
    <col min="10753" max="10753" width="27.5703125" style="1" customWidth="1"/>
    <col min="10754" max="10754" width="9.140625" style="1"/>
    <col min="10755" max="10755" width="15.7109375" style="1" customWidth="1"/>
    <col min="10756" max="10756" width="9.140625" style="1"/>
    <col min="10757" max="10757" width="14.42578125" style="1" customWidth="1"/>
    <col min="10758" max="10758" width="12" style="1" customWidth="1"/>
    <col min="10759" max="11008" width="9.140625" style="1"/>
    <col min="11009" max="11009" width="27.5703125" style="1" customWidth="1"/>
    <col min="11010" max="11010" width="9.140625" style="1"/>
    <col min="11011" max="11011" width="15.7109375" style="1" customWidth="1"/>
    <col min="11012" max="11012" width="9.140625" style="1"/>
    <col min="11013" max="11013" width="14.42578125" style="1" customWidth="1"/>
    <col min="11014" max="11014" width="12" style="1" customWidth="1"/>
    <col min="11015" max="11264" width="9.140625" style="1"/>
    <col min="11265" max="11265" width="27.5703125" style="1" customWidth="1"/>
    <col min="11266" max="11266" width="9.140625" style="1"/>
    <col min="11267" max="11267" width="15.7109375" style="1" customWidth="1"/>
    <col min="11268" max="11268" width="9.140625" style="1"/>
    <col min="11269" max="11269" width="14.42578125" style="1" customWidth="1"/>
    <col min="11270" max="11270" width="12" style="1" customWidth="1"/>
    <col min="11271" max="11520" width="9.140625" style="1"/>
    <col min="11521" max="11521" width="27.5703125" style="1" customWidth="1"/>
    <col min="11522" max="11522" width="9.140625" style="1"/>
    <col min="11523" max="11523" width="15.7109375" style="1" customWidth="1"/>
    <col min="11524" max="11524" width="9.140625" style="1"/>
    <col min="11525" max="11525" width="14.42578125" style="1" customWidth="1"/>
    <col min="11526" max="11526" width="12" style="1" customWidth="1"/>
    <col min="11527" max="11776" width="9.140625" style="1"/>
    <col min="11777" max="11777" width="27.5703125" style="1" customWidth="1"/>
    <col min="11778" max="11778" width="9.140625" style="1"/>
    <col min="11779" max="11779" width="15.7109375" style="1" customWidth="1"/>
    <col min="11780" max="11780" width="9.140625" style="1"/>
    <col min="11781" max="11781" width="14.42578125" style="1" customWidth="1"/>
    <col min="11782" max="11782" width="12" style="1" customWidth="1"/>
    <col min="11783" max="12032" width="9.140625" style="1"/>
    <col min="12033" max="12033" width="27.5703125" style="1" customWidth="1"/>
    <col min="12034" max="12034" width="9.140625" style="1"/>
    <col min="12035" max="12035" width="15.7109375" style="1" customWidth="1"/>
    <col min="12036" max="12036" width="9.140625" style="1"/>
    <col min="12037" max="12037" width="14.42578125" style="1" customWidth="1"/>
    <col min="12038" max="12038" width="12" style="1" customWidth="1"/>
    <col min="12039" max="12288" width="9.140625" style="1"/>
    <col min="12289" max="12289" width="27.5703125" style="1" customWidth="1"/>
    <col min="12290" max="12290" width="9.140625" style="1"/>
    <col min="12291" max="12291" width="15.7109375" style="1" customWidth="1"/>
    <col min="12292" max="12292" width="9.140625" style="1"/>
    <col min="12293" max="12293" width="14.42578125" style="1" customWidth="1"/>
    <col min="12294" max="12294" width="12" style="1" customWidth="1"/>
    <col min="12295" max="12544" width="9.140625" style="1"/>
    <col min="12545" max="12545" width="27.5703125" style="1" customWidth="1"/>
    <col min="12546" max="12546" width="9.140625" style="1"/>
    <col min="12547" max="12547" width="15.7109375" style="1" customWidth="1"/>
    <col min="12548" max="12548" width="9.140625" style="1"/>
    <col min="12549" max="12549" width="14.42578125" style="1" customWidth="1"/>
    <col min="12550" max="12550" width="12" style="1" customWidth="1"/>
    <col min="12551" max="12800" width="9.140625" style="1"/>
    <col min="12801" max="12801" width="27.5703125" style="1" customWidth="1"/>
    <col min="12802" max="12802" width="9.140625" style="1"/>
    <col min="12803" max="12803" width="15.7109375" style="1" customWidth="1"/>
    <col min="12804" max="12804" width="9.140625" style="1"/>
    <col min="12805" max="12805" width="14.42578125" style="1" customWidth="1"/>
    <col min="12806" max="12806" width="12" style="1" customWidth="1"/>
    <col min="12807" max="13056" width="9.140625" style="1"/>
    <col min="13057" max="13057" width="27.5703125" style="1" customWidth="1"/>
    <col min="13058" max="13058" width="9.140625" style="1"/>
    <col min="13059" max="13059" width="15.7109375" style="1" customWidth="1"/>
    <col min="13060" max="13060" width="9.140625" style="1"/>
    <col min="13061" max="13061" width="14.42578125" style="1" customWidth="1"/>
    <col min="13062" max="13062" width="12" style="1" customWidth="1"/>
    <col min="13063" max="13312" width="9.140625" style="1"/>
    <col min="13313" max="13313" width="27.5703125" style="1" customWidth="1"/>
    <col min="13314" max="13314" width="9.140625" style="1"/>
    <col min="13315" max="13315" width="15.7109375" style="1" customWidth="1"/>
    <col min="13316" max="13316" width="9.140625" style="1"/>
    <col min="13317" max="13317" width="14.42578125" style="1" customWidth="1"/>
    <col min="13318" max="13318" width="12" style="1" customWidth="1"/>
    <col min="13319" max="13568" width="9.140625" style="1"/>
    <col min="13569" max="13569" width="27.5703125" style="1" customWidth="1"/>
    <col min="13570" max="13570" width="9.140625" style="1"/>
    <col min="13571" max="13571" width="15.7109375" style="1" customWidth="1"/>
    <col min="13572" max="13572" width="9.140625" style="1"/>
    <col min="13573" max="13573" width="14.42578125" style="1" customWidth="1"/>
    <col min="13574" max="13574" width="12" style="1" customWidth="1"/>
    <col min="13575" max="13824" width="9.140625" style="1"/>
    <col min="13825" max="13825" width="27.5703125" style="1" customWidth="1"/>
    <col min="13826" max="13826" width="9.140625" style="1"/>
    <col min="13827" max="13827" width="15.7109375" style="1" customWidth="1"/>
    <col min="13828" max="13828" width="9.140625" style="1"/>
    <col min="13829" max="13829" width="14.42578125" style="1" customWidth="1"/>
    <col min="13830" max="13830" width="12" style="1" customWidth="1"/>
    <col min="13831" max="14080" width="9.140625" style="1"/>
    <col min="14081" max="14081" width="27.5703125" style="1" customWidth="1"/>
    <col min="14082" max="14082" width="9.140625" style="1"/>
    <col min="14083" max="14083" width="15.7109375" style="1" customWidth="1"/>
    <col min="14084" max="14084" width="9.140625" style="1"/>
    <col min="14085" max="14085" width="14.42578125" style="1" customWidth="1"/>
    <col min="14086" max="14086" width="12" style="1" customWidth="1"/>
    <col min="14087" max="14336" width="9.140625" style="1"/>
    <col min="14337" max="14337" width="27.5703125" style="1" customWidth="1"/>
    <col min="14338" max="14338" width="9.140625" style="1"/>
    <col min="14339" max="14339" width="15.7109375" style="1" customWidth="1"/>
    <col min="14340" max="14340" width="9.140625" style="1"/>
    <col min="14341" max="14341" width="14.42578125" style="1" customWidth="1"/>
    <col min="14342" max="14342" width="12" style="1" customWidth="1"/>
    <col min="14343" max="14592" width="9.140625" style="1"/>
    <col min="14593" max="14593" width="27.5703125" style="1" customWidth="1"/>
    <col min="14594" max="14594" width="9.140625" style="1"/>
    <col min="14595" max="14595" width="15.7109375" style="1" customWidth="1"/>
    <col min="14596" max="14596" width="9.140625" style="1"/>
    <col min="14597" max="14597" width="14.42578125" style="1" customWidth="1"/>
    <col min="14598" max="14598" width="12" style="1" customWidth="1"/>
    <col min="14599" max="14848" width="9.140625" style="1"/>
    <col min="14849" max="14849" width="27.5703125" style="1" customWidth="1"/>
    <col min="14850" max="14850" width="9.140625" style="1"/>
    <col min="14851" max="14851" width="15.7109375" style="1" customWidth="1"/>
    <col min="14852" max="14852" width="9.140625" style="1"/>
    <col min="14853" max="14853" width="14.42578125" style="1" customWidth="1"/>
    <col min="14854" max="14854" width="12" style="1" customWidth="1"/>
    <col min="14855" max="15104" width="9.140625" style="1"/>
    <col min="15105" max="15105" width="27.5703125" style="1" customWidth="1"/>
    <col min="15106" max="15106" width="9.140625" style="1"/>
    <col min="15107" max="15107" width="15.7109375" style="1" customWidth="1"/>
    <col min="15108" max="15108" width="9.140625" style="1"/>
    <col min="15109" max="15109" width="14.42578125" style="1" customWidth="1"/>
    <col min="15110" max="15110" width="12" style="1" customWidth="1"/>
    <col min="15111" max="15360" width="9.140625" style="1"/>
    <col min="15361" max="15361" width="27.5703125" style="1" customWidth="1"/>
    <col min="15362" max="15362" width="9.140625" style="1"/>
    <col min="15363" max="15363" width="15.7109375" style="1" customWidth="1"/>
    <col min="15364" max="15364" width="9.140625" style="1"/>
    <col min="15365" max="15365" width="14.42578125" style="1" customWidth="1"/>
    <col min="15366" max="15366" width="12" style="1" customWidth="1"/>
    <col min="15367" max="15616" width="9.140625" style="1"/>
    <col min="15617" max="15617" width="27.5703125" style="1" customWidth="1"/>
    <col min="15618" max="15618" width="9.140625" style="1"/>
    <col min="15619" max="15619" width="15.7109375" style="1" customWidth="1"/>
    <col min="15620" max="15620" width="9.140625" style="1"/>
    <col min="15621" max="15621" width="14.42578125" style="1" customWidth="1"/>
    <col min="15622" max="15622" width="12" style="1" customWidth="1"/>
    <col min="15623" max="15872" width="9.140625" style="1"/>
    <col min="15873" max="15873" width="27.5703125" style="1" customWidth="1"/>
    <col min="15874" max="15874" width="9.140625" style="1"/>
    <col min="15875" max="15875" width="15.7109375" style="1" customWidth="1"/>
    <col min="15876" max="15876" width="9.140625" style="1"/>
    <col min="15877" max="15877" width="14.42578125" style="1" customWidth="1"/>
    <col min="15878" max="15878" width="12" style="1" customWidth="1"/>
    <col min="15879" max="16128" width="9.140625" style="1"/>
    <col min="16129" max="16129" width="27.5703125" style="1" customWidth="1"/>
    <col min="16130" max="16130" width="9.140625" style="1"/>
    <col min="16131" max="16131" width="15.7109375" style="1" customWidth="1"/>
    <col min="16132" max="16132" width="9.140625" style="1"/>
    <col min="16133" max="16133" width="14.42578125" style="1" customWidth="1"/>
    <col min="16134" max="16134" width="12" style="1" customWidth="1"/>
    <col min="16135" max="16384" width="9.140625" style="1"/>
  </cols>
  <sheetData>
    <row r="2" spans="1:11" x14ac:dyDescent="0.2">
      <c r="A2" s="1176" t="s">
        <v>317</v>
      </c>
      <c r="B2" s="1176"/>
      <c r="C2" s="1176"/>
      <c r="D2" s="1176"/>
      <c r="E2" s="1176"/>
      <c r="F2" s="28"/>
      <c r="G2" s="1176" t="s">
        <v>318</v>
      </c>
      <c r="H2" s="1176"/>
      <c r="I2" s="1176"/>
      <c r="J2" s="1176"/>
      <c r="K2" s="1176"/>
    </row>
    <row r="3" spans="1:11" x14ac:dyDescent="0.2">
      <c r="A3" s="1176" t="s">
        <v>98</v>
      </c>
      <c r="B3" s="1176"/>
      <c r="C3" s="1176"/>
      <c r="D3" s="1176"/>
      <c r="E3" s="1176"/>
      <c r="F3" s="28"/>
      <c r="G3" s="1176" t="s">
        <v>98</v>
      </c>
      <c r="H3" s="1176"/>
      <c r="I3" s="1176"/>
      <c r="J3" s="1176"/>
      <c r="K3" s="1176"/>
    </row>
    <row r="4" spans="1:11" x14ac:dyDescent="0.2">
      <c r="A4" s="1177" t="s">
        <v>422</v>
      </c>
      <c r="B4" s="1176"/>
      <c r="C4" s="1176"/>
      <c r="D4" s="1176"/>
      <c r="E4" s="1176"/>
      <c r="F4" s="28"/>
      <c r="G4" s="1177" t="s">
        <v>422</v>
      </c>
      <c r="H4" s="1176"/>
      <c r="I4" s="1176"/>
      <c r="J4" s="1176"/>
      <c r="K4" s="1176"/>
    </row>
    <row r="5" spans="1:11" x14ac:dyDescent="0.2">
      <c r="A5" s="94"/>
      <c r="B5" s="18"/>
      <c r="C5" s="18"/>
      <c r="D5" s="18"/>
      <c r="E5" s="18"/>
      <c r="F5" s="14"/>
      <c r="G5" s="94"/>
      <c r="H5" s="18"/>
      <c r="I5" s="18"/>
      <c r="J5" s="18"/>
      <c r="K5" s="18"/>
    </row>
    <row r="6" spans="1:11" ht="57.6" customHeight="1" x14ac:dyDescent="0.2">
      <c r="A6" s="190" t="s">
        <v>171</v>
      </c>
      <c r="B6" s="190" t="s">
        <v>99</v>
      </c>
      <c r="C6" s="190" t="s">
        <v>316</v>
      </c>
      <c r="D6" s="190" t="s">
        <v>40</v>
      </c>
      <c r="E6" s="190" t="s">
        <v>6</v>
      </c>
      <c r="G6" s="361" t="s">
        <v>171</v>
      </c>
      <c r="H6" s="361" t="s">
        <v>99</v>
      </c>
      <c r="I6" s="361" t="s">
        <v>316</v>
      </c>
      <c r="J6" s="361" t="s">
        <v>40</v>
      </c>
      <c r="K6" s="361" t="s">
        <v>6</v>
      </c>
    </row>
    <row r="7" spans="1:11" s="4" customFormat="1" x14ac:dyDescent="0.2">
      <c r="A7" s="53" t="s">
        <v>433</v>
      </c>
      <c r="B7" s="37" t="s">
        <v>73</v>
      </c>
      <c r="C7" s="37">
        <f>1*4</f>
        <v>4</v>
      </c>
      <c r="D7" s="37">
        <v>127</v>
      </c>
      <c r="E7" s="162">
        <f>ROUND(D7*C7,2)</f>
        <v>508</v>
      </c>
      <c r="G7" s="53" t="s">
        <v>100</v>
      </c>
      <c r="H7" s="37" t="s">
        <v>73</v>
      </c>
      <c r="I7" s="37">
        <f>1*4</f>
        <v>4</v>
      </c>
      <c r="J7" s="37">
        <f>D7</f>
        <v>127</v>
      </c>
      <c r="K7" s="162">
        <f>ROUND(J7*I7,2)</f>
        <v>508</v>
      </c>
    </row>
    <row r="8" spans="1:11" s="4" customFormat="1" x14ac:dyDescent="0.2">
      <c r="A8" s="53" t="s">
        <v>101</v>
      </c>
      <c r="B8" s="37" t="s">
        <v>73</v>
      </c>
      <c r="C8" s="37">
        <f>1*12</f>
        <v>12</v>
      </c>
      <c r="D8" s="37">
        <v>126</v>
      </c>
      <c r="E8" s="162">
        <f>ROUND(D8*C8,2)</f>
        <v>1512</v>
      </c>
      <c r="G8" s="53" t="s">
        <v>101</v>
      </c>
      <c r="H8" s="37" t="s">
        <v>73</v>
      </c>
      <c r="I8" s="37">
        <f>1*12</f>
        <v>12</v>
      </c>
      <c r="J8" s="37">
        <f>D8</f>
        <v>126</v>
      </c>
      <c r="K8" s="162">
        <f>ROUND(J8*I8,2)</f>
        <v>1512</v>
      </c>
    </row>
    <row r="9" spans="1:11" s="4" customFormat="1" x14ac:dyDescent="0.2">
      <c r="A9" s="53" t="s">
        <v>102</v>
      </c>
      <c r="B9" s="37" t="s">
        <v>73</v>
      </c>
      <c r="C9" s="37">
        <f>1*12</f>
        <v>12</v>
      </c>
      <c r="D9" s="37">
        <v>179.9</v>
      </c>
      <c r="E9" s="162">
        <f>ROUND(D9*C9,2)</f>
        <v>2158.8000000000002</v>
      </c>
      <c r="G9" s="53" t="s">
        <v>102</v>
      </c>
      <c r="H9" s="37" t="s">
        <v>73</v>
      </c>
      <c r="I9" s="37">
        <f>1*12</f>
        <v>12</v>
      </c>
      <c r="J9" s="37">
        <f>D9</f>
        <v>179.9</v>
      </c>
      <c r="K9" s="162">
        <f>ROUND(J9*I9,2)</f>
        <v>2158.8000000000002</v>
      </c>
    </row>
    <row r="10" spans="1:11" s="4" customFormat="1" x14ac:dyDescent="0.2">
      <c r="A10" s="19" t="s">
        <v>103</v>
      </c>
      <c r="B10" s="37" t="s">
        <v>73</v>
      </c>
      <c r="C10" s="37">
        <v>12</v>
      </c>
      <c r="D10" s="163">
        <v>176.1</v>
      </c>
      <c r="E10" s="162">
        <f>ROUND(D10*C10,2)</f>
        <v>2113.1999999999998</v>
      </c>
      <c r="G10" s="19" t="s">
        <v>103</v>
      </c>
      <c r="H10" s="37" t="s">
        <v>73</v>
      </c>
      <c r="I10" s="37">
        <v>12</v>
      </c>
      <c r="J10" s="37">
        <f>D10</f>
        <v>176.1</v>
      </c>
      <c r="K10" s="162">
        <f>ROUND(J10*I10,2)</f>
        <v>2113.1999999999998</v>
      </c>
    </row>
    <row r="11" spans="1:11" s="4" customFormat="1" x14ac:dyDescent="0.2">
      <c r="A11" s="19" t="s">
        <v>104</v>
      </c>
      <c r="B11" s="37" t="s">
        <v>105</v>
      </c>
      <c r="C11" s="37">
        <f>0.5*6</f>
        <v>3</v>
      </c>
      <c r="D11" s="163">
        <v>59.7</v>
      </c>
      <c r="E11" s="162">
        <f>ROUND(D11*C11,2)</f>
        <v>179.1</v>
      </c>
      <c r="G11" s="19" t="s">
        <v>104</v>
      </c>
      <c r="H11" s="37" t="s">
        <v>105</v>
      </c>
      <c r="I11" s="37">
        <f>0.5*6</f>
        <v>3</v>
      </c>
      <c r="J11" s="37">
        <f>D11</f>
        <v>59.7</v>
      </c>
      <c r="K11" s="162">
        <f>ROUND(J11*I11,2)</f>
        <v>179.1</v>
      </c>
    </row>
    <row r="12" spans="1:11" ht="13.5" thickBot="1" x14ac:dyDescent="0.25">
      <c r="A12" s="191" t="s">
        <v>107</v>
      </c>
      <c r="B12" s="192" t="s">
        <v>73</v>
      </c>
      <c r="C12" s="193">
        <f>SUM(C7:C11)</f>
        <v>43</v>
      </c>
      <c r="D12" s="95"/>
      <c r="E12" s="194">
        <f>SUM(E7:E11)</f>
        <v>6471.1</v>
      </c>
      <c r="F12" s="3"/>
      <c r="G12" s="191" t="s">
        <v>107</v>
      </c>
      <c r="H12" s="192" t="s">
        <v>73</v>
      </c>
      <c r="I12" s="193">
        <f>SUM(I7:I11)</f>
        <v>43</v>
      </c>
      <c r="J12" s="95"/>
      <c r="K12" s="194">
        <f>SUM(K7:K11)</f>
        <v>6471.1</v>
      </c>
    </row>
    <row r="13" spans="1:11" ht="13.5" thickBot="1" x14ac:dyDescent="0.25">
      <c r="A13" s="482" t="s">
        <v>177</v>
      </c>
      <c r="B13" s="482"/>
      <c r="C13" s="492">
        <f>ROUND(C12/'Исходные данные'!P14,3)</f>
        <v>2.2629999999999999</v>
      </c>
      <c r="D13" s="485"/>
      <c r="E13" s="484">
        <f>ROUND(E12/'Исходные данные'!P14,2)</f>
        <v>340.58</v>
      </c>
      <c r="G13" s="482" t="s">
        <v>177</v>
      </c>
      <c r="H13" s="486"/>
      <c r="I13" s="493">
        <f>ROUND(I12/'Исходные данные'!Q14,3)</f>
        <v>1.6539999999999999</v>
      </c>
      <c r="J13" s="483"/>
      <c r="K13" s="85">
        <f>ROUND(K12/'Исходные данные'!Q14,2)</f>
        <v>248.89</v>
      </c>
    </row>
    <row r="14" spans="1:11" ht="14.25" customHeight="1" x14ac:dyDescent="0.2">
      <c r="A14" s="14"/>
      <c r="B14" s="14"/>
      <c r="C14" s="14"/>
      <c r="D14" s="14"/>
      <c r="E14" s="14"/>
      <c r="F14" s="14"/>
      <c r="G14" s="14"/>
    </row>
    <row r="15" spans="1:11" ht="14.25" customHeight="1" x14ac:dyDescent="0.2">
      <c r="A15" s="1175" t="s">
        <v>132</v>
      </c>
      <c r="B15" s="1045" t="s">
        <v>321</v>
      </c>
      <c r="C15" s="1045"/>
      <c r="D15" s="989" t="s">
        <v>25</v>
      </c>
      <c r="E15" s="14"/>
      <c r="F15" s="14"/>
      <c r="G15" s="14"/>
    </row>
    <row r="16" spans="1:11" ht="25.5" x14ac:dyDescent="0.2">
      <c r="A16" s="1175"/>
      <c r="B16" s="547" t="s">
        <v>261</v>
      </c>
      <c r="C16" s="547" t="s">
        <v>262</v>
      </c>
      <c r="D16" s="990"/>
    </row>
    <row r="17" spans="1:6" x14ac:dyDescent="0.2">
      <c r="A17" s="46" t="str">
        <f>Канцтовары!A23</f>
        <v>МАДОУ ЦРР-детский сад № 2</v>
      </c>
      <c r="B17" s="67">
        <f>Численность!B6+Численность!G6</f>
        <v>100</v>
      </c>
      <c r="C17" s="67">
        <f>Численность!C6+Численность!H6+Численность!I6</f>
        <v>385</v>
      </c>
      <c r="D17" s="369">
        <f>(B17*$E$13)+(C17*$K$13)</f>
        <v>129880.65</v>
      </c>
    </row>
    <row r="18" spans="1:6" x14ac:dyDescent="0.2">
      <c r="A18" s="46" t="str">
        <f>Канцтовары!A24</f>
        <v>МАДОУ ЦРР-детский сад № 11</v>
      </c>
      <c r="B18" s="67">
        <f>Численность!B7+Численность!G7</f>
        <v>95</v>
      </c>
      <c r="C18" s="67">
        <f>Численность!C7+Численность!H7+Численность!I7</f>
        <v>482</v>
      </c>
      <c r="D18" s="369">
        <f t="shared" ref="D18:D25" si="0">(B18*$E$13)+(C18*$K$13)</f>
        <v>152320.07999999999</v>
      </c>
    </row>
    <row r="19" spans="1:6" x14ac:dyDescent="0.2">
      <c r="A19" s="46" t="str">
        <f>Канцтовары!A25</f>
        <v>МАДОУ ЦРР-детский сад № 13</v>
      </c>
      <c r="B19" s="67">
        <f>Численность!B8+Численность!G8</f>
        <v>107</v>
      </c>
      <c r="C19" s="67">
        <f>Численность!C8+Численность!H8+Численность!I8</f>
        <v>556</v>
      </c>
      <c r="D19" s="369">
        <f t="shared" si="0"/>
        <v>174824.9</v>
      </c>
    </row>
    <row r="20" spans="1:6" ht="25.5" x14ac:dyDescent="0.2">
      <c r="A20" s="46" t="str">
        <f>Канцтовары!A26</f>
        <v>МАОУ СОШ № 1 структурное подразделение</v>
      </c>
      <c r="B20" s="67">
        <f>Численность!B9+Численность!G9</f>
        <v>64</v>
      </c>
      <c r="C20" s="67">
        <f>Численность!C9+Численность!H9+Численность!I9</f>
        <v>350</v>
      </c>
      <c r="D20" s="369">
        <f t="shared" si="0"/>
        <v>108908.62</v>
      </c>
    </row>
    <row r="21" spans="1:6" ht="25.5" x14ac:dyDescent="0.2">
      <c r="A21" s="46" t="str">
        <f>Канцтовары!A27</f>
        <v>МАОУ СОШ № 2 им.М.И.Грибушина структурное подразделение</v>
      </c>
      <c r="B21" s="67">
        <f>Численность!B10+Численность!G10</f>
        <v>56</v>
      </c>
      <c r="C21" s="67">
        <f>Численность!C10+Численность!H10+Численность!I10</f>
        <v>239</v>
      </c>
      <c r="D21" s="369">
        <f t="shared" si="0"/>
        <v>78557.19</v>
      </c>
    </row>
    <row r="22" spans="1:6" ht="25.5" x14ac:dyDescent="0.2">
      <c r="A22" s="46" t="str">
        <f>Канцтовары!A28</f>
        <v>МАОУ СОШ № 10 структурное подразделение</v>
      </c>
      <c r="B22" s="67">
        <f>Численность!B11+Численность!G11</f>
        <v>25</v>
      </c>
      <c r="C22" s="67">
        <f>Численность!C11+Численность!H11+Численность!I11</f>
        <v>218</v>
      </c>
      <c r="D22" s="369">
        <f t="shared" si="0"/>
        <v>62772.52</v>
      </c>
    </row>
    <row r="23" spans="1:6" ht="25.5" x14ac:dyDescent="0.2">
      <c r="A23" s="46" t="str">
        <f>Канцтовары!A29</f>
        <v>МАОУ СОШ № 13 структурное подразделение</v>
      </c>
      <c r="B23" s="67">
        <f>Численность!B12+Численность!G12</f>
        <v>35</v>
      </c>
      <c r="C23" s="67">
        <f>Численность!C12+Численность!H12+Численность!I12</f>
        <v>135</v>
      </c>
      <c r="D23" s="369">
        <f t="shared" si="0"/>
        <v>45520.45</v>
      </c>
      <c r="F23" s="57"/>
    </row>
    <row r="24" spans="1:6" x14ac:dyDescent="0.2">
      <c r="A24" s="46" t="str">
        <f>Канцтовары!A30</f>
        <v>Гимназия № 16 структурное подразделение</v>
      </c>
      <c r="B24" s="67">
        <f>Численность!B13+Численность!G13</f>
        <v>50</v>
      </c>
      <c r="C24" s="67">
        <f>Численность!C13+Численность!H13+Численность!I13</f>
        <v>311</v>
      </c>
      <c r="D24" s="369">
        <f t="shared" si="0"/>
        <v>94433.79</v>
      </c>
    </row>
    <row r="25" spans="1:6" ht="25.5" x14ac:dyDescent="0.2">
      <c r="A25" s="46" t="str">
        <f>Канцтовары!A31</f>
        <v>МАОУ ООШ № 17 с кадетскими классами структурное подразделение</v>
      </c>
      <c r="B25" s="67">
        <f>Численность!B14+Численность!G14</f>
        <v>20</v>
      </c>
      <c r="C25" s="67">
        <f>Численность!C14+Численность!H14+Численность!I14</f>
        <v>87</v>
      </c>
      <c r="D25" s="369">
        <f t="shared" si="0"/>
        <v>28465.03</v>
      </c>
    </row>
    <row r="26" spans="1:6" x14ac:dyDescent="0.2">
      <c r="A26" s="351" t="s">
        <v>1</v>
      </c>
      <c r="B26" s="366">
        <f>SUM(B17:B25)</f>
        <v>552</v>
      </c>
      <c r="C26" s="366">
        <f>SUM(C17:C25)</f>
        <v>2763</v>
      </c>
      <c r="D26" s="370">
        <f>SUM(D17:D25)</f>
        <v>875683.23</v>
      </c>
    </row>
    <row r="28" spans="1:6" x14ac:dyDescent="0.2">
      <c r="E28" s="57"/>
    </row>
  </sheetData>
  <mergeCells count="9">
    <mergeCell ref="A15:A16"/>
    <mergeCell ref="B15:C15"/>
    <mergeCell ref="D15:D16"/>
    <mergeCell ref="G2:K2"/>
    <mergeCell ref="G3:K3"/>
    <mergeCell ref="G4:K4"/>
    <mergeCell ref="A2:E2"/>
    <mergeCell ref="A3:E3"/>
    <mergeCell ref="A4:E4"/>
  </mergeCells>
  <pageMargins left="0.75" right="0.75" top="1" bottom="1" header="0.5" footer="0.5"/>
  <pageSetup paperSize="9" scale="51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Y34"/>
  <sheetViews>
    <sheetView view="pageBreakPreview" zoomScale="70" zoomScaleNormal="110" zoomScaleSheetLayoutView="70" workbookViewId="0">
      <pane xSplit="1" ySplit="5" topLeftCell="AE6" activePane="bottomRight" state="frozen"/>
      <selection pane="topRight" activeCell="C1" sqref="C1"/>
      <selection pane="bottomLeft" activeCell="A6" sqref="A6"/>
      <selection pane="bottomRight" activeCell="AL20" sqref="AL20"/>
    </sheetView>
  </sheetViews>
  <sheetFormatPr defaultRowHeight="12.75" x14ac:dyDescent="0.2"/>
  <cols>
    <col min="1" max="1" width="45.5703125" style="30" customWidth="1"/>
    <col min="2" max="6" width="14.7109375" style="30" customWidth="1"/>
    <col min="7" max="8" width="14.7109375" style="830" customWidth="1"/>
    <col min="9" max="22" width="14.7109375" style="30" customWidth="1"/>
    <col min="23" max="23" width="13.5703125" style="30" customWidth="1"/>
    <col min="24" max="28" width="14.7109375" style="30" customWidth="1"/>
    <col min="29" max="30" width="9.140625" style="30"/>
    <col min="31" max="31" width="14.85546875" style="30" customWidth="1"/>
    <col min="32" max="32" width="14.28515625" style="30" customWidth="1"/>
    <col min="33" max="38" width="16.7109375" style="830" customWidth="1"/>
    <col min="39" max="48" width="16.7109375" style="840" customWidth="1"/>
    <col min="49" max="50" width="18.28515625" style="830" customWidth="1"/>
    <col min="51" max="245" width="9.140625" style="30"/>
    <col min="246" max="246" width="19.28515625" style="30" customWidth="1"/>
    <col min="247" max="247" width="10.28515625" style="30" customWidth="1"/>
    <col min="248" max="249" width="10" style="30" customWidth="1"/>
    <col min="250" max="250" width="10.5703125" style="30" customWidth="1"/>
    <col min="251" max="251" width="12.28515625" style="30" customWidth="1"/>
    <col min="252" max="252" width="13.28515625" style="30" customWidth="1"/>
    <col min="253" max="253" width="15.42578125" style="30" customWidth="1"/>
    <col min="254" max="254" width="15" style="30" customWidth="1"/>
    <col min="255" max="255" width="14.5703125" style="30" customWidth="1"/>
    <col min="256" max="256" width="14.140625" style="30" customWidth="1"/>
    <col min="257" max="501" width="9.140625" style="30"/>
    <col min="502" max="502" width="19.28515625" style="30" customWidth="1"/>
    <col min="503" max="503" width="10.28515625" style="30" customWidth="1"/>
    <col min="504" max="505" width="10" style="30" customWidth="1"/>
    <col min="506" max="506" width="10.5703125" style="30" customWidth="1"/>
    <col min="507" max="507" width="12.28515625" style="30" customWidth="1"/>
    <col min="508" max="508" width="13.28515625" style="30" customWidth="1"/>
    <col min="509" max="509" width="15.42578125" style="30" customWidth="1"/>
    <col min="510" max="510" width="15" style="30" customWidth="1"/>
    <col min="511" max="511" width="14.5703125" style="30" customWidth="1"/>
    <col min="512" max="512" width="14.140625" style="30" customWidth="1"/>
    <col min="513" max="757" width="9.140625" style="30"/>
    <col min="758" max="758" width="19.28515625" style="30" customWidth="1"/>
    <col min="759" max="759" width="10.28515625" style="30" customWidth="1"/>
    <col min="760" max="761" width="10" style="30" customWidth="1"/>
    <col min="762" max="762" width="10.5703125" style="30" customWidth="1"/>
    <col min="763" max="763" width="12.28515625" style="30" customWidth="1"/>
    <col min="764" max="764" width="13.28515625" style="30" customWidth="1"/>
    <col min="765" max="765" width="15.42578125" style="30" customWidth="1"/>
    <col min="766" max="766" width="15" style="30" customWidth="1"/>
    <col min="767" max="767" width="14.5703125" style="30" customWidth="1"/>
    <col min="768" max="768" width="14.140625" style="30" customWidth="1"/>
    <col min="769" max="1013" width="9.140625" style="30"/>
    <col min="1014" max="1014" width="19.28515625" style="30" customWidth="1"/>
    <col min="1015" max="1015" width="10.28515625" style="30" customWidth="1"/>
    <col min="1016" max="1017" width="10" style="30" customWidth="1"/>
    <col min="1018" max="1018" width="10.5703125" style="30" customWidth="1"/>
    <col min="1019" max="1019" width="12.28515625" style="30" customWidth="1"/>
    <col min="1020" max="1020" width="13.28515625" style="30" customWidth="1"/>
    <col min="1021" max="1021" width="15.42578125" style="30" customWidth="1"/>
    <col min="1022" max="1022" width="15" style="30" customWidth="1"/>
    <col min="1023" max="1023" width="14.5703125" style="30" customWidth="1"/>
    <col min="1024" max="1024" width="14.140625" style="30" customWidth="1"/>
    <col min="1025" max="1269" width="9.140625" style="30"/>
    <col min="1270" max="1270" width="19.28515625" style="30" customWidth="1"/>
    <col min="1271" max="1271" width="10.28515625" style="30" customWidth="1"/>
    <col min="1272" max="1273" width="10" style="30" customWidth="1"/>
    <col min="1274" max="1274" width="10.5703125" style="30" customWidth="1"/>
    <col min="1275" max="1275" width="12.28515625" style="30" customWidth="1"/>
    <col min="1276" max="1276" width="13.28515625" style="30" customWidth="1"/>
    <col min="1277" max="1277" width="15.42578125" style="30" customWidth="1"/>
    <col min="1278" max="1278" width="15" style="30" customWidth="1"/>
    <col min="1279" max="1279" width="14.5703125" style="30" customWidth="1"/>
    <col min="1280" max="1280" width="14.140625" style="30" customWidth="1"/>
    <col min="1281" max="1525" width="9.140625" style="30"/>
    <col min="1526" max="1526" width="19.28515625" style="30" customWidth="1"/>
    <col min="1527" max="1527" width="10.28515625" style="30" customWidth="1"/>
    <col min="1528" max="1529" width="10" style="30" customWidth="1"/>
    <col min="1530" max="1530" width="10.5703125" style="30" customWidth="1"/>
    <col min="1531" max="1531" width="12.28515625" style="30" customWidth="1"/>
    <col min="1532" max="1532" width="13.28515625" style="30" customWidth="1"/>
    <col min="1533" max="1533" width="15.42578125" style="30" customWidth="1"/>
    <col min="1534" max="1534" width="15" style="30" customWidth="1"/>
    <col min="1535" max="1535" width="14.5703125" style="30" customWidth="1"/>
    <col min="1536" max="1536" width="14.140625" style="30" customWidth="1"/>
    <col min="1537" max="1781" width="9.140625" style="30"/>
    <col min="1782" max="1782" width="19.28515625" style="30" customWidth="1"/>
    <col min="1783" max="1783" width="10.28515625" style="30" customWidth="1"/>
    <col min="1784" max="1785" width="10" style="30" customWidth="1"/>
    <col min="1786" max="1786" width="10.5703125" style="30" customWidth="1"/>
    <col min="1787" max="1787" width="12.28515625" style="30" customWidth="1"/>
    <col min="1788" max="1788" width="13.28515625" style="30" customWidth="1"/>
    <col min="1789" max="1789" width="15.42578125" style="30" customWidth="1"/>
    <col min="1790" max="1790" width="15" style="30" customWidth="1"/>
    <col min="1791" max="1791" width="14.5703125" style="30" customWidth="1"/>
    <col min="1792" max="1792" width="14.140625" style="30" customWidth="1"/>
    <col min="1793" max="2037" width="9.140625" style="30"/>
    <col min="2038" max="2038" width="19.28515625" style="30" customWidth="1"/>
    <col min="2039" max="2039" width="10.28515625" style="30" customWidth="1"/>
    <col min="2040" max="2041" width="10" style="30" customWidth="1"/>
    <col min="2042" max="2042" width="10.5703125" style="30" customWidth="1"/>
    <col min="2043" max="2043" width="12.28515625" style="30" customWidth="1"/>
    <col min="2044" max="2044" width="13.28515625" style="30" customWidth="1"/>
    <col min="2045" max="2045" width="15.42578125" style="30" customWidth="1"/>
    <col min="2046" max="2046" width="15" style="30" customWidth="1"/>
    <col min="2047" max="2047" width="14.5703125" style="30" customWidth="1"/>
    <col min="2048" max="2048" width="14.140625" style="30" customWidth="1"/>
    <col min="2049" max="2293" width="9.140625" style="30"/>
    <col min="2294" max="2294" width="19.28515625" style="30" customWidth="1"/>
    <col min="2295" max="2295" width="10.28515625" style="30" customWidth="1"/>
    <col min="2296" max="2297" width="10" style="30" customWidth="1"/>
    <col min="2298" max="2298" width="10.5703125" style="30" customWidth="1"/>
    <col min="2299" max="2299" width="12.28515625" style="30" customWidth="1"/>
    <col min="2300" max="2300" width="13.28515625" style="30" customWidth="1"/>
    <col min="2301" max="2301" width="15.42578125" style="30" customWidth="1"/>
    <col min="2302" max="2302" width="15" style="30" customWidth="1"/>
    <col min="2303" max="2303" width="14.5703125" style="30" customWidth="1"/>
    <col min="2304" max="2304" width="14.140625" style="30" customWidth="1"/>
    <col min="2305" max="2549" width="9.140625" style="30"/>
    <col min="2550" max="2550" width="19.28515625" style="30" customWidth="1"/>
    <col min="2551" max="2551" width="10.28515625" style="30" customWidth="1"/>
    <col min="2552" max="2553" width="10" style="30" customWidth="1"/>
    <col min="2554" max="2554" width="10.5703125" style="30" customWidth="1"/>
    <col min="2555" max="2555" width="12.28515625" style="30" customWidth="1"/>
    <col min="2556" max="2556" width="13.28515625" style="30" customWidth="1"/>
    <col min="2557" max="2557" width="15.42578125" style="30" customWidth="1"/>
    <col min="2558" max="2558" width="15" style="30" customWidth="1"/>
    <col min="2559" max="2559" width="14.5703125" style="30" customWidth="1"/>
    <col min="2560" max="2560" width="14.140625" style="30" customWidth="1"/>
    <col min="2561" max="2805" width="9.140625" style="30"/>
    <col min="2806" max="2806" width="19.28515625" style="30" customWidth="1"/>
    <col min="2807" max="2807" width="10.28515625" style="30" customWidth="1"/>
    <col min="2808" max="2809" width="10" style="30" customWidth="1"/>
    <col min="2810" max="2810" width="10.5703125" style="30" customWidth="1"/>
    <col min="2811" max="2811" width="12.28515625" style="30" customWidth="1"/>
    <col min="2812" max="2812" width="13.28515625" style="30" customWidth="1"/>
    <col min="2813" max="2813" width="15.42578125" style="30" customWidth="1"/>
    <col min="2814" max="2814" width="15" style="30" customWidth="1"/>
    <col min="2815" max="2815" width="14.5703125" style="30" customWidth="1"/>
    <col min="2816" max="2816" width="14.140625" style="30" customWidth="1"/>
    <col min="2817" max="3061" width="9.140625" style="30"/>
    <col min="3062" max="3062" width="19.28515625" style="30" customWidth="1"/>
    <col min="3063" max="3063" width="10.28515625" style="30" customWidth="1"/>
    <col min="3064" max="3065" width="10" style="30" customWidth="1"/>
    <col min="3066" max="3066" width="10.5703125" style="30" customWidth="1"/>
    <col min="3067" max="3067" width="12.28515625" style="30" customWidth="1"/>
    <col min="3068" max="3068" width="13.28515625" style="30" customWidth="1"/>
    <col min="3069" max="3069" width="15.42578125" style="30" customWidth="1"/>
    <col min="3070" max="3070" width="15" style="30" customWidth="1"/>
    <col min="3071" max="3071" width="14.5703125" style="30" customWidth="1"/>
    <col min="3072" max="3072" width="14.140625" style="30" customWidth="1"/>
    <col min="3073" max="3317" width="9.140625" style="30"/>
    <col min="3318" max="3318" width="19.28515625" style="30" customWidth="1"/>
    <col min="3319" max="3319" width="10.28515625" style="30" customWidth="1"/>
    <col min="3320" max="3321" width="10" style="30" customWidth="1"/>
    <col min="3322" max="3322" width="10.5703125" style="30" customWidth="1"/>
    <col min="3323" max="3323" width="12.28515625" style="30" customWidth="1"/>
    <col min="3324" max="3324" width="13.28515625" style="30" customWidth="1"/>
    <col min="3325" max="3325" width="15.42578125" style="30" customWidth="1"/>
    <col min="3326" max="3326" width="15" style="30" customWidth="1"/>
    <col min="3327" max="3327" width="14.5703125" style="30" customWidth="1"/>
    <col min="3328" max="3328" width="14.140625" style="30" customWidth="1"/>
    <col min="3329" max="3573" width="9.140625" style="30"/>
    <col min="3574" max="3574" width="19.28515625" style="30" customWidth="1"/>
    <col min="3575" max="3575" width="10.28515625" style="30" customWidth="1"/>
    <col min="3576" max="3577" width="10" style="30" customWidth="1"/>
    <col min="3578" max="3578" width="10.5703125" style="30" customWidth="1"/>
    <col min="3579" max="3579" width="12.28515625" style="30" customWidth="1"/>
    <col min="3580" max="3580" width="13.28515625" style="30" customWidth="1"/>
    <col min="3581" max="3581" width="15.42578125" style="30" customWidth="1"/>
    <col min="3582" max="3582" width="15" style="30" customWidth="1"/>
    <col min="3583" max="3583" width="14.5703125" style="30" customWidth="1"/>
    <col min="3584" max="3584" width="14.140625" style="30" customWidth="1"/>
    <col min="3585" max="3829" width="9.140625" style="30"/>
    <col min="3830" max="3830" width="19.28515625" style="30" customWidth="1"/>
    <col min="3831" max="3831" width="10.28515625" style="30" customWidth="1"/>
    <col min="3832" max="3833" width="10" style="30" customWidth="1"/>
    <col min="3834" max="3834" width="10.5703125" style="30" customWidth="1"/>
    <col min="3835" max="3835" width="12.28515625" style="30" customWidth="1"/>
    <col min="3836" max="3836" width="13.28515625" style="30" customWidth="1"/>
    <col min="3837" max="3837" width="15.42578125" style="30" customWidth="1"/>
    <col min="3838" max="3838" width="15" style="30" customWidth="1"/>
    <col min="3839" max="3839" width="14.5703125" style="30" customWidth="1"/>
    <col min="3840" max="3840" width="14.140625" style="30" customWidth="1"/>
    <col min="3841" max="4085" width="9.140625" style="30"/>
    <col min="4086" max="4086" width="19.28515625" style="30" customWidth="1"/>
    <col min="4087" max="4087" width="10.28515625" style="30" customWidth="1"/>
    <col min="4088" max="4089" width="10" style="30" customWidth="1"/>
    <col min="4090" max="4090" width="10.5703125" style="30" customWidth="1"/>
    <col min="4091" max="4091" width="12.28515625" style="30" customWidth="1"/>
    <col min="4092" max="4092" width="13.28515625" style="30" customWidth="1"/>
    <col min="4093" max="4093" width="15.42578125" style="30" customWidth="1"/>
    <col min="4094" max="4094" width="15" style="30" customWidth="1"/>
    <col min="4095" max="4095" width="14.5703125" style="30" customWidth="1"/>
    <col min="4096" max="4096" width="14.140625" style="30" customWidth="1"/>
    <col min="4097" max="4341" width="9.140625" style="30"/>
    <col min="4342" max="4342" width="19.28515625" style="30" customWidth="1"/>
    <col min="4343" max="4343" width="10.28515625" style="30" customWidth="1"/>
    <col min="4344" max="4345" width="10" style="30" customWidth="1"/>
    <col min="4346" max="4346" width="10.5703125" style="30" customWidth="1"/>
    <col min="4347" max="4347" width="12.28515625" style="30" customWidth="1"/>
    <col min="4348" max="4348" width="13.28515625" style="30" customWidth="1"/>
    <col min="4349" max="4349" width="15.42578125" style="30" customWidth="1"/>
    <col min="4350" max="4350" width="15" style="30" customWidth="1"/>
    <col min="4351" max="4351" width="14.5703125" style="30" customWidth="1"/>
    <col min="4352" max="4352" width="14.140625" style="30" customWidth="1"/>
    <col min="4353" max="4597" width="9.140625" style="30"/>
    <col min="4598" max="4598" width="19.28515625" style="30" customWidth="1"/>
    <col min="4599" max="4599" width="10.28515625" style="30" customWidth="1"/>
    <col min="4600" max="4601" width="10" style="30" customWidth="1"/>
    <col min="4602" max="4602" width="10.5703125" style="30" customWidth="1"/>
    <col min="4603" max="4603" width="12.28515625" style="30" customWidth="1"/>
    <col min="4604" max="4604" width="13.28515625" style="30" customWidth="1"/>
    <col min="4605" max="4605" width="15.42578125" style="30" customWidth="1"/>
    <col min="4606" max="4606" width="15" style="30" customWidth="1"/>
    <col min="4607" max="4607" width="14.5703125" style="30" customWidth="1"/>
    <col min="4608" max="4608" width="14.140625" style="30" customWidth="1"/>
    <col min="4609" max="4853" width="9.140625" style="30"/>
    <col min="4854" max="4854" width="19.28515625" style="30" customWidth="1"/>
    <col min="4855" max="4855" width="10.28515625" style="30" customWidth="1"/>
    <col min="4856" max="4857" width="10" style="30" customWidth="1"/>
    <col min="4858" max="4858" width="10.5703125" style="30" customWidth="1"/>
    <col min="4859" max="4859" width="12.28515625" style="30" customWidth="1"/>
    <col min="4860" max="4860" width="13.28515625" style="30" customWidth="1"/>
    <col min="4861" max="4861" width="15.42578125" style="30" customWidth="1"/>
    <col min="4862" max="4862" width="15" style="30" customWidth="1"/>
    <col min="4863" max="4863" width="14.5703125" style="30" customWidth="1"/>
    <col min="4864" max="4864" width="14.140625" style="30" customWidth="1"/>
    <col min="4865" max="5109" width="9.140625" style="30"/>
    <col min="5110" max="5110" width="19.28515625" style="30" customWidth="1"/>
    <col min="5111" max="5111" width="10.28515625" style="30" customWidth="1"/>
    <col min="5112" max="5113" width="10" style="30" customWidth="1"/>
    <col min="5114" max="5114" width="10.5703125" style="30" customWidth="1"/>
    <col min="5115" max="5115" width="12.28515625" style="30" customWidth="1"/>
    <col min="5116" max="5116" width="13.28515625" style="30" customWidth="1"/>
    <col min="5117" max="5117" width="15.42578125" style="30" customWidth="1"/>
    <col min="5118" max="5118" width="15" style="30" customWidth="1"/>
    <col min="5119" max="5119" width="14.5703125" style="30" customWidth="1"/>
    <col min="5120" max="5120" width="14.140625" style="30" customWidth="1"/>
    <col min="5121" max="5365" width="9.140625" style="30"/>
    <col min="5366" max="5366" width="19.28515625" style="30" customWidth="1"/>
    <col min="5367" max="5367" width="10.28515625" style="30" customWidth="1"/>
    <col min="5368" max="5369" width="10" style="30" customWidth="1"/>
    <col min="5370" max="5370" width="10.5703125" style="30" customWidth="1"/>
    <col min="5371" max="5371" width="12.28515625" style="30" customWidth="1"/>
    <col min="5372" max="5372" width="13.28515625" style="30" customWidth="1"/>
    <col min="5373" max="5373" width="15.42578125" style="30" customWidth="1"/>
    <col min="5374" max="5374" width="15" style="30" customWidth="1"/>
    <col min="5375" max="5375" width="14.5703125" style="30" customWidth="1"/>
    <col min="5376" max="5376" width="14.140625" style="30" customWidth="1"/>
    <col min="5377" max="5621" width="9.140625" style="30"/>
    <col min="5622" max="5622" width="19.28515625" style="30" customWidth="1"/>
    <col min="5623" max="5623" width="10.28515625" style="30" customWidth="1"/>
    <col min="5624" max="5625" width="10" style="30" customWidth="1"/>
    <col min="5626" max="5626" width="10.5703125" style="30" customWidth="1"/>
    <col min="5627" max="5627" width="12.28515625" style="30" customWidth="1"/>
    <col min="5628" max="5628" width="13.28515625" style="30" customWidth="1"/>
    <col min="5629" max="5629" width="15.42578125" style="30" customWidth="1"/>
    <col min="5630" max="5630" width="15" style="30" customWidth="1"/>
    <col min="5631" max="5631" width="14.5703125" style="30" customWidth="1"/>
    <col min="5632" max="5632" width="14.140625" style="30" customWidth="1"/>
    <col min="5633" max="5877" width="9.140625" style="30"/>
    <col min="5878" max="5878" width="19.28515625" style="30" customWidth="1"/>
    <col min="5879" max="5879" width="10.28515625" style="30" customWidth="1"/>
    <col min="5880" max="5881" width="10" style="30" customWidth="1"/>
    <col min="5882" max="5882" width="10.5703125" style="30" customWidth="1"/>
    <col min="5883" max="5883" width="12.28515625" style="30" customWidth="1"/>
    <col min="5884" max="5884" width="13.28515625" style="30" customWidth="1"/>
    <col min="5885" max="5885" width="15.42578125" style="30" customWidth="1"/>
    <col min="5886" max="5886" width="15" style="30" customWidth="1"/>
    <col min="5887" max="5887" width="14.5703125" style="30" customWidth="1"/>
    <col min="5888" max="5888" width="14.140625" style="30" customWidth="1"/>
    <col min="5889" max="6133" width="9.140625" style="30"/>
    <col min="6134" max="6134" width="19.28515625" style="30" customWidth="1"/>
    <col min="6135" max="6135" width="10.28515625" style="30" customWidth="1"/>
    <col min="6136" max="6137" width="10" style="30" customWidth="1"/>
    <col min="6138" max="6138" width="10.5703125" style="30" customWidth="1"/>
    <col min="6139" max="6139" width="12.28515625" style="30" customWidth="1"/>
    <col min="6140" max="6140" width="13.28515625" style="30" customWidth="1"/>
    <col min="6141" max="6141" width="15.42578125" style="30" customWidth="1"/>
    <col min="6142" max="6142" width="15" style="30" customWidth="1"/>
    <col min="6143" max="6143" width="14.5703125" style="30" customWidth="1"/>
    <col min="6144" max="6144" width="14.140625" style="30" customWidth="1"/>
    <col min="6145" max="6389" width="9.140625" style="30"/>
    <col min="6390" max="6390" width="19.28515625" style="30" customWidth="1"/>
    <col min="6391" max="6391" width="10.28515625" style="30" customWidth="1"/>
    <col min="6392" max="6393" width="10" style="30" customWidth="1"/>
    <col min="6394" max="6394" width="10.5703125" style="30" customWidth="1"/>
    <col min="6395" max="6395" width="12.28515625" style="30" customWidth="1"/>
    <col min="6396" max="6396" width="13.28515625" style="30" customWidth="1"/>
    <col min="6397" max="6397" width="15.42578125" style="30" customWidth="1"/>
    <col min="6398" max="6398" width="15" style="30" customWidth="1"/>
    <col min="6399" max="6399" width="14.5703125" style="30" customWidth="1"/>
    <col min="6400" max="6400" width="14.140625" style="30" customWidth="1"/>
    <col min="6401" max="6645" width="9.140625" style="30"/>
    <col min="6646" max="6646" width="19.28515625" style="30" customWidth="1"/>
    <col min="6647" max="6647" width="10.28515625" style="30" customWidth="1"/>
    <col min="6648" max="6649" width="10" style="30" customWidth="1"/>
    <col min="6650" max="6650" width="10.5703125" style="30" customWidth="1"/>
    <col min="6651" max="6651" width="12.28515625" style="30" customWidth="1"/>
    <col min="6652" max="6652" width="13.28515625" style="30" customWidth="1"/>
    <col min="6653" max="6653" width="15.42578125" style="30" customWidth="1"/>
    <col min="6654" max="6654" width="15" style="30" customWidth="1"/>
    <col min="6655" max="6655" width="14.5703125" style="30" customWidth="1"/>
    <col min="6656" max="6656" width="14.140625" style="30" customWidth="1"/>
    <col min="6657" max="6901" width="9.140625" style="30"/>
    <col min="6902" max="6902" width="19.28515625" style="30" customWidth="1"/>
    <col min="6903" max="6903" width="10.28515625" style="30" customWidth="1"/>
    <col min="6904" max="6905" width="10" style="30" customWidth="1"/>
    <col min="6906" max="6906" width="10.5703125" style="30" customWidth="1"/>
    <col min="6907" max="6907" width="12.28515625" style="30" customWidth="1"/>
    <col min="6908" max="6908" width="13.28515625" style="30" customWidth="1"/>
    <col min="6909" max="6909" width="15.42578125" style="30" customWidth="1"/>
    <col min="6910" max="6910" width="15" style="30" customWidth="1"/>
    <col min="6911" max="6911" width="14.5703125" style="30" customWidth="1"/>
    <col min="6912" max="6912" width="14.140625" style="30" customWidth="1"/>
    <col min="6913" max="7157" width="9.140625" style="30"/>
    <col min="7158" max="7158" width="19.28515625" style="30" customWidth="1"/>
    <col min="7159" max="7159" width="10.28515625" style="30" customWidth="1"/>
    <col min="7160" max="7161" width="10" style="30" customWidth="1"/>
    <col min="7162" max="7162" width="10.5703125" style="30" customWidth="1"/>
    <col min="7163" max="7163" width="12.28515625" style="30" customWidth="1"/>
    <col min="7164" max="7164" width="13.28515625" style="30" customWidth="1"/>
    <col min="7165" max="7165" width="15.42578125" style="30" customWidth="1"/>
    <col min="7166" max="7166" width="15" style="30" customWidth="1"/>
    <col min="7167" max="7167" width="14.5703125" style="30" customWidth="1"/>
    <col min="7168" max="7168" width="14.140625" style="30" customWidth="1"/>
    <col min="7169" max="7413" width="9.140625" style="30"/>
    <col min="7414" max="7414" width="19.28515625" style="30" customWidth="1"/>
    <col min="7415" max="7415" width="10.28515625" style="30" customWidth="1"/>
    <col min="7416" max="7417" width="10" style="30" customWidth="1"/>
    <col min="7418" max="7418" width="10.5703125" style="30" customWidth="1"/>
    <col min="7419" max="7419" width="12.28515625" style="30" customWidth="1"/>
    <col min="7420" max="7420" width="13.28515625" style="30" customWidth="1"/>
    <col min="7421" max="7421" width="15.42578125" style="30" customWidth="1"/>
    <col min="7422" max="7422" width="15" style="30" customWidth="1"/>
    <col min="7423" max="7423" width="14.5703125" style="30" customWidth="1"/>
    <col min="7424" max="7424" width="14.140625" style="30" customWidth="1"/>
    <col min="7425" max="7669" width="9.140625" style="30"/>
    <col min="7670" max="7670" width="19.28515625" style="30" customWidth="1"/>
    <col min="7671" max="7671" width="10.28515625" style="30" customWidth="1"/>
    <col min="7672" max="7673" width="10" style="30" customWidth="1"/>
    <col min="7674" max="7674" width="10.5703125" style="30" customWidth="1"/>
    <col min="7675" max="7675" width="12.28515625" style="30" customWidth="1"/>
    <col min="7676" max="7676" width="13.28515625" style="30" customWidth="1"/>
    <col min="7677" max="7677" width="15.42578125" style="30" customWidth="1"/>
    <col min="7678" max="7678" width="15" style="30" customWidth="1"/>
    <col min="7679" max="7679" width="14.5703125" style="30" customWidth="1"/>
    <col min="7680" max="7680" width="14.140625" style="30" customWidth="1"/>
    <col min="7681" max="7925" width="9.140625" style="30"/>
    <col min="7926" max="7926" width="19.28515625" style="30" customWidth="1"/>
    <col min="7927" max="7927" width="10.28515625" style="30" customWidth="1"/>
    <col min="7928" max="7929" width="10" style="30" customWidth="1"/>
    <col min="7930" max="7930" width="10.5703125" style="30" customWidth="1"/>
    <col min="7931" max="7931" width="12.28515625" style="30" customWidth="1"/>
    <col min="7932" max="7932" width="13.28515625" style="30" customWidth="1"/>
    <col min="7933" max="7933" width="15.42578125" style="30" customWidth="1"/>
    <col min="7934" max="7934" width="15" style="30" customWidth="1"/>
    <col min="7935" max="7935" width="14.5703125" style="30" customWidth="1"/>
    <col min="7936" max="7936" width="14.140625" style="30" customWidth="1"/>
    <col min="7937" max="8181" width="9.140625" style="30"/>
    <col min="8182" max="8182" width="19.28515625" style="30" customWidth="1"/>
    <col min="8183" max="8183" width="10.28515625" style="30" customWidth="1"/>
    <col min="8184" max="8185" width="10" style="30" customWidth="1"/>
    <col min="8186" max="8186" width="10.5703125" style="30" customWidth="1"/>
    <col min="8187" max="8187" width="12.28515625" style="30" customWidth="1"/>
    <col min="8188" max="8188" width="13.28515625" style="30" customWidth="1"/>
    <col min="8189" max="8189" width="15.42578125" style="30" customWidth="1"/>
    <col min="8190" max="8190" width="15" style="30" customWidth="1"/>
    <col min="8191" max="8191" width="14.5703125" style="30" customWidth="1"/>
    <col min="8192" max="8192" width="14.140625" style="30" customWidth="1"/>
    <col min="8193" max="8437" width="9.140625" style="30"/>
    <col min="8438" max="8438" width="19.28515625" style="30" customWidth="1"/>
    <col min="8439" max="8439" width="10.28515625" style="30" customWidth="1"/>
    <col min="8440" max="8441" width="10" style="30" customWidth="1"/>
    <col min="8442" max="8442" width="10.5703125" style="30" customWidth="1"/>
    <col min="8443" max="8443" width="12.28515625" style="30" customWidth="1"/>
    <col min="8444" max="8444" width="13.28515625" style="30" customWidth="1"/>
    <col min="8445" max="8445" width="15.42578125" style="30" customWidth="1"/>
    <col min="8446" max="8446" width="15" style="30" customWidth="1"/>
    <col min="8447" max="8447" width="14.5703125" style="30" customWidth="1"/>
    <col min="8448" max="8448" width="14.140625" style="30" customWidth="1"/>
    <col min="8449" max="8693" width="9.140625" style="30"/>
    <col min="8694" max="8694" width="19.28515625" style="30" customWidth="1"/>
    <col min="8695" max="8695" width="10.28515625" style="30" customWidth="1"/>
    <col min="8696" max="8697" width="10" style="30" customWidth="1"/>
    <col min="8698" max="8698" width="10.5703125" style="30" customWidth="1"/>
    <col min="8699" max="8699" width="12.28515625" style="30" customWidth="1"/>
    <col min="8700" max="8700" width="13.28515625" style="30" customWidth="1"/>
    <col min="8701" max="8701" width="15.42578125" style="30" customWidth="1"/>
    <col min="8702" max="8702" width="15" style="30" customWidth="1"/>
    <col min="8703" max="8703" width="14.5703125" style="30" customWidth="1"/>
    <col min="8704" max="8704" width="14.140625" style="30" customWidth="1"/>
    <col min="8705" max="8949" width="9.140625" style="30"/>
    <col min="8950" max="8950" width="19.28515625" style="30" customWidth="1"/>
    <col min="8951" max="8951" width="10.28515625" style="30" customWidth="1"/>
    <col min="8952" max="8953" width="10" style="30" customWidth="1"/>
    <col min="8954" max="8954" width="10.5703125" style="30" customWidth="1"/>
    <col min="8955" max="8955" width="12.28515625" style="30" customWidth="1"/>
    <col min="8956" max="8956" width="13.28515625" style="30" customWidth="1"/>
    <col min="8957" max="8957" width="15.42578125" style="30" customWidth="1"/>
    <col min="8958" max="8958" width="15" style="30" customWidth="1"/>
    <col min="8959" max="8959" width="14.5703125" style="30" customWidth="1"/>
    <col min="8960" max="8960" width="14.140625" style="30" customWidth="1"/>
    <col min="8961" max="9205" width="9.140625" style="30"/>
    <col min="9206" max="9206" width="19.28515625" style="30" customWidth="1"/>
    <col min="9207" max="9207" width="10.28515625" style="30" customWidth="1"/>
    <col min="9208" max="9209" width="10" style="30" customWidth="1"/>
    <col min="9210" max="9210" width="10.5703125" style="30" customWidth="1"/>
    <col min="9211" max="9211" width="12.28515625" style="30" customWidth="1"/>
    <col min="9212" max="9212" width="13.28515625" style="30" customWidth="1"/>
    <col min="9213" max="9213" width="15.42578125" style="30" customWidth="1"/>
    <col min="9214" max="9214" width="15" style="30" customWidth="1"/>
    <col min="9215" max="9215" width="14.5703125" style="30" customWidth="1"/>
    <col min="9216" max="9216" width="14.140625" style="30" customWidth="1"/>
    <col min="9217" max="9461" width="9.140625" style="30"/>
    <col min="9462" max="9462" width="19.28515625" style="30" customWidth="1"/>
    <col min="9463" max="9463" width="10.28515625" style="30" customWidth="1"/>
    <col min="9464" max="9465" width="10" style="30" customWidth="1"/>
    <col min="9466" max="9466" width="10.5703125" style="30" customWidth="1"/>
    <col min="9467" max="9467" width="12.28515625" style="30" customWidth="1"/>
    <col min="9468" max="9468" width="13.28515625" style="30" customWidth="1"/>
    <col min="9469" max="9469" width="15.42578125" style="30" customWidth="1"/>
    <col min="9470" max="9470" width="15" style="30" customWidth="1"/>
    <col min="9471" max="9471" width="14.5703125" style="30" customWidth="1"/>
    <col min="9472" max="9472" width="14.140625" style="30" customWidth="1"/>
    <col min="9473" max="9717" width="9.140625" style="30"/>
    <col min="9718" max="9718" width="19.28515625" style="30" customWidth="1"/>
    <col min="9719" max="9719" width="10.28515625" style="30" customWidth="1"/>
    <col min="9720" max="9721" width="10" style="30" customWidth="1"/>
    <col min="9722" max="9722" width="10.5703125" style="30" customWidth="1"/>
    <col min="9723" max="9723" width="12.28515625" style="30" customWidth="1"/>
    <col min="9724" max="9724" width="13.28515625" style="30" customWidth="1"/>
    <col min="9725" max="9725" width="15.42578125" style="30" customWidth="1"/>
    <col min="9726" max="9726" width="15" style="30" customWidth="1"/>
    <col min="9727" max="9727" width="14.5703125" style="30" customWidth="1"/>
    <col min="9728" max="9728" width="14.140625" style="30" customWidth="1"/>
    <col min="9729" max="9973" width="9.140625" style="30"/>
    <col min="9974" max="9974" width="19.28515625" style="30" customWidth="1"/>
    <col min="9975" max="9975" width="10.28515625" style="30" customWidth="1"/>
    <col min="9976" max="9977" width="10" style="30" customWidth="1"/>
    <col min="9978" max="9978" width="10.5703125" style="30" customWidth="1"/>
    <col min="9979" max="9979" width="12.28515625" style="30" customWidth="1"/>
    <col min="9980" max="9980" width="13.28515625" style="30" customWidth="1"/>
    <col min="9981" max="9981" width="15.42578125" style="30" customWidth="1"/>
    <col min="9982" max="9982" width="15" style="30" customWidth="1"/>
    <col min="9983" max="9983" width="14.5703125" style="30" customWidth="1"/>
    <col min="9984" max="9984" width="14.140625" style="30" customWidth="1"/>
    <col min="9985" max="10229" width="9.140625" style="30"/>
    <col min="10230" max="10230" width="19.28515625" style="30" customWidth="1"/>
    <col min="10231" max="10231" width="10.28515625" style="30" customWidth="1"/>
    <col min="10232" max="10233" width="10" style="30" customWidth="1"/>
    <col min="10234" max="10234" width="10.5703125" style="30" customWidth="1"/>
    <col min="10235" max="10235" width="12.28515625" style="30" customWidth="1"/>
    <col min="10236" max="10236" width="13.28515625" style="30" customWidth="1"/>
    <col min="10237" max="10237" width="15.42578125" style="30" customWidth="1"/>
    <col min="10238" max="10238" width="15" style="30" customWidth="1"/>
    <col min="10239" max="10239" width="14.5703125" style="30" customWidth="1"/>
    <col min="10240" max="10240" width="14.140625" style="30" customWidth="1"/>
    <col min="10241" max="10485" width="9.140625" style="30"/>
    <col min="10486" max="10486" width="19.28515625" style="30" customWidth="1"/>
    <col min="10487" max="10487" width="10.28515625" style="30" customWidth="1"/>
    <col min="10488" max="10489" width="10" style="30" customWidth="1"/>
    <col min="10490" max="10490" width="10.5703125" style="30" customWidth="1"/>
    <col min="10491" max="10491" width="12.28515625" style="30" customWidth="1"/>
    <col min="10492" max="10492" width="13.28515625" style="30" customWidth="1"/>
    <col min="10493" max="10493" width="15.42578125" style="30" customWidth="1"/>
    <col min="10494" max="10494" width="15" style="30" customWidth="1"/>
    <col min="10495" max="10495" width="14.5703125" style="30" customWidth="1"/>
    <col min="10496" max="10496" width="14.140625" style="30" customWidth="1"/>
    <col min="10497" max="10741" width="9.140625" style="30"/>
    <col min="10742" max="10742" width="19.28515625" style="30" customWidth="1"/>
    <col min="10743" max="10743" width="10.28515625" style="30" customWidth="1"/>
    <col min="10744" max="10745" width="10" style="30" customWidth="1"/>
    <col min="10746" max="10746" width="10.5703125" style="30" customWidth="1"/>
    <col min="10747" max="10747" width="12.28515625" style="30" customWidth="1"/>
    <col min="10748" max="10748" width="13.28515625" style="30" customWidth="1"/>
    <col min="10749" max="10749" width="15.42578125" style="30" customWidth="1"/>
    <col min="10750" max="10750" width="15" style="30" customWidth="1"/>
    <col min="10751" max="10751" width="14.5703125" style="30" customWidth="1"/>
    <col min="10752" max="10752" width="14.140625" style="30" customWidth="1"/>
    <col min="10753" max="10997" width="9.140625" style="30"/>
    <col min="10998" max="10998" width="19.28515625" style="30" customWidth="1"/>
    <col min="10999" max="10999" width="10.28515625" style="30" customWidth="1"/>
    <col min="11000" max="11001" width="10" style="30" customWidth="1"/>
    <col min="11002" max="11002" width="10.5703125" style="30" customWidth="1"/>
    <col min="11003" max="11003" width="12.28515625" style="30" customWidth="1"/>
    <col min="11004" max="11004" width="13.28515625" style="30" customWidth="1"/>
    <col min="11005" max="11005" width="15.42578125" style="30" customWidth="1"/>
    <col min="11006" max="11006" width="15" style="30" customWidth="1"/>
    <col min="11007" max="11007" width="14.5703125" style="30" customWidth="1"/>
    <col min="11008" max="11008" width="14.140625" style="30" customWidth="1"/>
    <col min="11009" max="11253" width="9.140625" style="30"/>
    <col min="11254" max="11254" width="19.28515625" style="30" customWidth="1"/>
    <col min="11255" max="11255" width="10.28515625" style="30" customWidth="1"/>
    <col min="11256" max="11257" width="10" style="30" customWidth="1"/>
    <col min="11258" max="11258" width="10.5703125" style="30" customWidth="1"/>
    <col min="11259" max="11259" width="12.28515625" style="30" customWidth="1"/>
    <col min="11260" max="11260" width="13.28515625" style="30" customWidth="1"/>
    <col min="11261" max="11261" width="15.42578125" style="30" customWidth="1"/>
    <col min="11262" max="11262" width="15" style="30" customWidth="1"/>
    <col min="11263" max="11263" width="14.5703125" style="30" customWidth="1"/>
    <col min="11264" max="11264" width="14.140625" style="30" customWidth="1"/>
    <col min="11265" max="11509" width="9.140625" style="30"/>
    <col min="11510" max="11510" width="19.28515625" style="30" customWidth="1"/>
    <col min="11511" max="11511" width="10.28515625" style="30" customWidth="1"/>
    <col min="11512" max="11513" width="10" style="30" customWidth="1"/>
    <col min="11514" max="11514" width="10.5703125" style="30" customWidth="1"/>
    <col min="11515" max="11515" width="12.28515625" style="30" customWidth="1"/>
    <col min="11516" max="11516" width="13.28515625" style="30" customWidth="1"/>
    <col min="11517" max="11517" width="15.42578125" style="30" customWidth="1"/>
    <col min="11518" max="11518" width="15" style="30" customWidth="1"/>
    <col min="11519" max="11519" width="14.5703125" style="30" customWidth="1"/>
    <col min="11520" max="11520" width="14.140625" style="30" customWidth="1"/>
    <col min="11521" max="11765" width="9.140625" style="30"/>
    <col min="11766" max="11766" width="19.28515625" style="30" customWidth="1"/>
    <col min="11767" max="11767" width="10.28515625" style="30" customWidth="1"/>
    <col min="11768" max="11769" width="10" style="30" customWidth="1"/>
    <col min="11770" max="11770" width="10.5703125" style="30" customWidth="1"/>
    <col min="11771" max="11771" width="12.28515625" style="30" customWidth="1"/>
    <col min="11772" max="11772" width="13.28515625" style="30" customWidth="1"/>
    <col min="11773" max="11773" width="15.42578125" style="30" customWidth="1"/>
    <col min="11774" max="11774" width="15" style="30" customWidth="1"/>
    <col min="11775" max="11775" width="14.5703125" style="30" customWidth="1"/>
    <col min="11776" max="11776" width="14.140625" style="30" customWidth="1"/>
    <col min="11777" max="12021" width="9.140625" style="30"/>
    <col min="12022" max="12022" width="19.28515625" style="30" customWidth="1"/>
    <col min="12023" max="12023" width="10.28515625" style="30" customWidth="1"/>
    <col min="12024" max="12025" width="10" style="30" customWidth="1"/>
    <col min="12026" max="12026" width="10.5703125" style="30" customWidth="1"/>
    <col min="12027" max="12027" width="12.28515625" style="30" customWidth="1"/>
    <col min="12028" max="12028" width="13.28515625" style="30" customWidth="1"/>
    <col min="12029" max="12029" width="15.42578125" style="30" customWidth="1"/>
    <col min="12030" max="12030" width="15" style="30" customWidth="1"/>
    <col min="12031" max="12031" width="14.5703125" style="30" customWidth="1"/>
    <col min="12032" max="12032" width="14.140625" style="30" customWidth="1"/>
    <col min="12033" max="12277" width="9.140625" style="30"/>
    <col min="12278" max="12278" width="19.28515625" style="30" customWidth="1"/>
    <col min="12279" max="12279" width="10.28515625" style="30" customWidth="1"/>
    <col min="12280" max="12281" width="10" style="30" customWidth="1"/>
    <col min="12282" max="12282" width="10.5703125" style="30" customWidth="1"/>
    <col min="12283" max="12283" width="12.28515625" style="30" customWidth="1"/>
    <col min="12284" max="12284" width="13.28515625" style="30" customWidth="1"/>
    <col min="12285" max="12285" width="15.42578125" style="30" customWidth="1"/>
    <col min="12286" max="12286" width="15" style="30" customWidth="1"/>
    <col min="12287" max="12287" width="14.5703125" style="30" customWidth="1"/>
    <col min="12288" max="12288" width="14.140625" style="30" customWidth="1"/>
    <col min="12289" max="12533" width="9.140625" style="30"/>
    <col min="12534" max="12534" width="19.28515625" style="30" customWidth="1"/>
    <col min="12535" max="12535" width="10.28515625" style="30" customWidth="1"/>
    <col min="12536" max="12537" width="10" style="30" customWidth="1"/>
    <col min="12538" max="12538" width="10.5703125" style="30" customWidth="1"/>
    <col min="12539" max="12539" width="12.28515625" style="30" customWidth="1"/>
    <col min="12540" max="12540" width="13.28515625" style="30" customWidth="1"/>
    <col min="12541" max="12541" width="15.42578125" style="30" customWidth="1"/>
    <col min="12542" max="12542" width="15" style="30" customWidth="1"/>
    <col min="12543" max="12543" width="14.5703125" style="30" customWidth="1"/>
    <col min="12544" max="12544" width="14.140625" style="30" customWidth="1"/>
    <col min="12545" max="12789" width="9.140625" style="30"/>
    <col min="12790" max="12790" width="19.28515625" style="30" customWidth="1"/>
    <col min="12791" max="12791" width="10.28515625" style="30" customWidth="1"/>
    <col min="12792" max="12793" width="10" style="30" customWidth="1"/>
    <col min="12794" max="12794" width="10.5703125" style="30" customWidth="1"/>
    <col min="12795" max="12795" width="12.28515625" style="30" customWidth="1"/>
    <col min="12796" max="12796" width="13.28515625" style="30" customWidth="1"/>
    <col min="12797" max="12797" width="15.42578125" style="30" customWidth="1"/>
    <col min="12798" max="12798" width="15" style="30" customWidth="1"/>
    <col min="12799" max="12799" width="14.5703125" style="30" customWidth="1"/>
    <col min="12800" max="12800" width="14.140625" style="30" customWidth="1"/>
    <col min="12801" max="13045" width="9.140625" style="30"/>
    <col min="13046" max="13046" width="19.28515625" style="30" customWidth="1"/>
    <col min="13047" max="13047" width="10.28515625" style="30" customWidth="1"/>
    <col min="13048" max="13049" width="10" style="30" customWidth="1"/>
    <col min="13050" max="13050" width="10.5703125" style="30" customWidth="1"/>
    <col min="13051" max="13051" width="12.28515625" style="30" customWidth="1"/>
    <col min="13052" max="13052" width="13.28515625" style="30" customWidth="1"/>
    <col min="13053" max="13053" width="15.42578125" style="30" customWidth="1"/>
    <col min="13054" max="13054" width="15" style="30" customWidth="1"/>
    <col min="13055" max="13055" width="14.5703125" style="30" customWidth="1"/>
    <col min="13056" max="13056" width="14.140625" style="30" customWidth="1"/>
    <col min="13057" max="13301" width="9.140625" style="30"/>
    <col min="13302" max="13302" width="19.28515625" style="30" customWidth="1"/>
    <col min="13303" max="13303" width="10.28515625" style="30" customWidth="1"/>
    <col min="13304" max="13305" width="10" style="30" customWidth="1"/>
    <col min="13306" max="13306" width="10.5703125" style="30" customWidth="1"/>
    <col min="13307" max="13307" width="12.28515625" style="30" customWidth="1"/>
    <col min="13308" max="13308" width="13.28515625" style="30" customWidth="1"/>
    <col min="13309" max="13309" width="15.42578125" style="30" customWidth="1"/>
    <col min="13310" max="13310" width="15" style="30" customWidth="1"/>
    <col min="13311" max="13311" width="14.5703125" style="30" customWidth="1"/>
    <col min="13312" max="13312" width="14.140625" style="30" customWidth="1"/>
    <col min="13313" max="13557" width="9.140625" style="30"/>
    <col min="13558" max="13558" width="19.28515625" style="30" customWidth="1"/>
    <col min="13559" max="13559" width="10.28515625" style="30" customWidth="1"/>
    <col min="13560" max="13561" width="10" style="30" customWidth="1"/>
    <col min="13562" max="13562" width="10.5703125" style="30" customWidth="1"/>
    <col min="13563" max="13563" width="12.28515625" style="30" customWidth="1"/>
    <col min="13564" max="13564" width="13.28515625" style="30" customWidth="1"/>
    <col min="13565" max="13565" width="15.42578125" style="30" customWidth="1"/>
    <col min="13566" max="13566" width="15" style="30" customWidth="1"/>
    <col min="13567" max="13567" width="14.5703125" style="30" customWidth="1"/>
    <col min="13568" max="13568" width="14.140625" style="30" customWidth="1"/>
    <col min="13569" max="13813" width="9.140625" style="30"/>
    <col min="13814" max="13814" width="19.28515625" style="30" customWidth="1"/>
    <col min="13815" max="13815" width="10.28515625" style="30" customWidth="1"/>
    <col min="13816" max="13817" width="10" style="30" customWidth="1"/>
    <col min="13818" max="13818" width="10.5703125" style="30" customWidth="1"/>
    <col min="13819" max="13819" width="12.28515625" style="30" customWidth="1"/>
    <col min="13820" max="13820" width="13.28515625" style="30" customWidth="1"/>
    <col min="13821" max="13821" width="15.42578125" style="30" customWidth="1"/>
    <col min="13822" max="13822" width="15" style="30" customWidth="1"/>
    <col min="13823" max="13823" width="14.5703125" style="30" customWidth="1"/>
    <col min="13824" max="13824" width="14.140625" style="30" customWidth="1"/>
    <col min="13825" max="14069" width="9.140625" style="30"/>
    <col min="14070" max="14070" width="19.28515625" style="30" customWidth="1"/>
    <col min="14071" max="14071" width="10.28515625" style="30" customWidth="1"/>
    <col min="14072" max="14073" width="10" style="30" customWidth="1"/>
    <col min="14074" max="14074" width="10.5703125" style="30" customWidth="1"/>
    <col min="14075" max="14075" width="12.28515625" style="30" customWidth="1"/>
    <col min="14076" max="14076" width="13.28515625" style="30" customWidth="1"/>
    <col min="14077" max="14077" width="15.42578125" style="30" customWidth="1"/>
    <col min="14078" max="14078" width="15" style="30" customWidth="1"/>
    <col min="14079" max="14079" width="14.5703125" style="30" customWidth="1"/>
    <col min="14080" max="14080" width="14.140625" style="30" customWidth="1"/>
    <col min="14081" max="14325" width="9.140625" style="30"/>
    <col min="14326" max="14326" width="19.28515625" style="30" customWidth="1"/>
    <col min="14327" max="14327" width="10.28515625" style="30" customWidth="1"/>
    <col min="14328" max="14329" width="10" style="30" customWidth="1"/>
    <col min="14330" max="14330" width="10.5703125" style="30" customWidth="1"/>
    <col min="14331" max="14331" width="12.28515625" style="30" customWidth="1"/>
    <col min="14332" max="14332" width="13.28515625" style="30" customWidth="1"/>
    <col min="14333" max="14333" width="15.42578125" style="30" customWidth="1"/>
    <col min="14334" max="14334" width="15" style="30" customWidth="1"/>
    <col min="14335" max="14335" width="14.5703125" style="30" customWidth="1"/>
    <col min="14336" max="14336" width="14.140625" style="30" customWidth="1"/>
    <col min="14337" max="14581" width="9.140625" style="30"/>
    <col min="14582" max="14582" width="19.28515625" style="30" customWidth="1"/>
    <col min="14583" max="14583" width="10.28515625" style="30" customWidth="1"/>
    <col min="14584" max="14585" width="10" style="30" customWidth="1"/>
    <col min="14586" max="14586" width="10.5703125" style="30" customWidth="1"/>
    <col min="14587" max="14587" width="12.28515625" style="30" customWidth="1"/>
    <col min="14588" max="14588" width="13.28515625" style="30" customWidth="1"/>
    <col min="14589" max="14589" width="15.42578125" style="30" customWidth="1"/>
    <col min="14590" max="14590" width="15" style="30" customWidth="1"/>
    <col min="14591" max="14591" width="14.5703125" style="30" customWidth="1"/>
    <col min="14592" max="14592" width="14.140625" style="30" customWidth="1"/>
    <col min="14593" max="14837" width="9.140625" style="30"/>
    <col min="14838" max="14838" width="19.28515625" style="30" customWidth="1"/>
    <col min="14839" max="14839" width="10.28515625" style="30" customWidth="1"/>
    <col min="14840" max="14841" width="10" style="30" customWidth="1"/>
    <col min="14842" max="14842" width="10.5703125" style="30" customWidth="1"/>
    <col min="14843" max="14843" width="12.28515625" style="30" customWidth="1"/>
    <col min="14844" max="14844" width="13.28515625" style="30" customWidth="1"/>
    <col min="14845" max="14845" width="15.42578125" style="30" customWidth="1"/>
    <col min="14846" max="14846" width="15" style="30" customWidth="1"/>
    <col min="14847" max="14847" width="14.5703125" style="30" customWidth="1"/>
    <col min="14848" max="14848" width="14.140625" style="30" customWidth="1"/>
    <col min="14849" max="15093" width="9.140625" style="30"/>
    <col min="15094" max="15094" width="19.28515625" style="30" customWidth="1"/>
    <col min="15095" max="15095" width="10.28515625" style="30" customWidth="1"/>
    <col min="15096" max="15097" width="10" style="30" customWidth="1"/>
    <col min="15098" max="15098" width="10.5703125" style="30" customWidth="1"/>
    <col min="15099" max="15099" width="12.28515625" style="30" customWidth="1"/>
    <col min="15100" max="15100" width="13.28515625" style="30" customWidth="1"/>
    <col min="15101" max="15101" width="15.42578125" style="30" customWidth="1"/>
    <col min="15102" max="15102" width="15" style="30" customWidth="1"/>
    <col min="15103" max="15103" width="14.5703125" style="30" customWidth="1"/>
    <col min="15104" max="15104" width="14.140625" style="30" customWidth="1"/>
    <col min="15105" max="15349" width="9.140625" style="30"/>
    <col min="15350" max="15350" width="19.28515625" style="30" customWidth="1"/>
    <col min="15351" max="15351" width="10.28515625" style="30" customWidth="1"/>
    <col min="15352" max="15353" width="10" style="30" customWidth="1"/>
    <col min="15354" max="15354" width="10.5703125" style="30" customWidth="1"/>
    <col min="15355" max="15355" width="12.28515625" style="30" customWidth="1"/>
    <col min="15356" max="15356" width="13.28515625" style="30" customWidth="1"/>
    <col min="15357" max="15357" width="15.42578125" style="30" customWidth="1"/>
    <col min="15358" max="15358" width="15" style="30" customWidth="1"/>
    <col min="15359" max="15359" width="14.5703125" style="30" customWidth="1"/>
    <col min="15360" max="15360" width="14.140625" style="30" customWidth="1"/>
    <col min="15361" max="15605" width="9.140625" style="30"/>
    <col min="15606" max="15606" width="19.28515625" style="30" customWidth="1"/>
    <col min="15607" max="15607" width="10.28515625" style="30" customWidth="1"/>
    <col min="15608" max="15609" width="10" style="30" customWidth="1"/>
    <col min="15610" max="15610" width="10.5703125" style="30" customWidth="1"/>
    <col min="15611" max="15611" width="12.28515625" style="30" customWidth="1"/>
    <col min="15612" max="15612" width="13.28515625" style="30" customWidth="1"/>
    <col min="15613" max="15613" width="15.42578125" style="30" customWidth="1"/>
    <col min="15614" max="15614" width="15" style="30" customWidth="1"/>
    <col min="15615" max="15615" width="14.5703125" style="30" customWidth="1"/>
    <col min="15616" max="15616" width="14.140625" style="30" customWidth="1"/>
    <col min="15617" max="15861" width="9.140625" style="30"/>
    <col min="15862" max="15862" width="19.28515625" style="30" customWidth="1"/>
    <col min="15863" max="15863" width="10.28515625" style="30" customWidth="1"/>
    <col min="15864" max="15865" width="10" style="30" customWidth="1"/>
    <col min="15866" max="15866" width="10.5703125" style="30" customWidth="1"/>
    <col min="15867" max="15867" width="12.28515625" style="30" customWidth="1"/>
    <col min="15868" max="15868" width="13.28515625" style="30" customWidth="1"/>
    <col min="15869" max="15869" width="15.42578125" style="30" customWidth="1"/>
    <col min="15870" max="15870" width="15" style="30" customWidth="1"/>
    <col min="15871" max="15871" width="14.5703125" style="30" customWidth="1"/>
    <col min="15872" max="15872" width="14.140625" style="30" customWidth="1"/>
    <col min="15873" max="16117" width="9.140625" style="30"/>
    <col min="16118" max="16118" width="19.28515625" style="30" customWidth="1"/>
    <col min="16119" max="16119" width="10.28515625" style="30" customWidth="1"/>
    <col min="16120" max="16121" width="10" style="30" customWidth="1"/>
    <col min="16122" max="16122" width="10.5703125" style="30" customWidth="1"/>
    <col min="16123" max="16123" width="12.28515625" style="30" customWidth="1"/>
    <col min="16124" max="16124" width="13.28515625" style="30" customWidth="1"/>
    <col min="16125" max="16125" width="15.42578125" style="30" customWidth="1"/>
    <col min="16126" max="16126" width="15" style="30" customWidth="1"/>
    <col min="16127" max="16127" width="14.5703125" style="30" customWidth="1"/>
    <col min="16128" max="16128" width="14.140625" style="30" customWidth="1"/>
    <col min="16129" max="16365" width="9.140625" style="30"/>
    <col min="16366" max="16384" width="9.140625" style="30" customWidth="1"/>
  </cols>
  <sheetData>
    <row r="1" spans="1:51" ht="12.75" customHeight="1" x14ac:dyDescent="0.2">
      <c r="A1" s="577" t="s">
        <v>398</v>
      </c>
      <c r="B1" s="577"/>
    </row>
    <row r="2" spans="1:51" ht="16.5" customHeight="1" x14ac:dyDescent="0.2">
      <c r="A2" s="991" t="s">
        <v>132</v>
      </c>
      <c r="B2" s="1182"/>
      <c r="C2" s="1182"/>
      <c r="D2" s="1182"/>
      <c r="E2" s="1182"/>
      <c r="F2" s="1182"/>
      <c r="G2" s="1182"/>
      <c r="H2" s="1182"/>
      <c r="I2" s="1182"/>
      <c r="J2" s="1182"/>
      <c r="K2" s="1182"/>
      <c r="L2" s="1182"/>
      <c r="M2" s="1182"/>
      <c r="N2" s="1182"/>
      <c r="O2" s="1182"/>
      <c r="P2" s="1182"/>
      <c r="Q2" s="1182"/>
      <c r="R2" s="1182"/>
      <c r="S2" s="1182"/>
      <c r="T2" s="1182"/>
      <c r="U2" s="1182"/>
      <c r="V2" s="1182"/>
      <c r="W2" s="1182"/>
      <c r="X2" s="1182"/>
      <c r="Y2" s="1182"/>
      <c r="Z2" s="1182"/>
      <c r="AA2" s="1182"/>
      <c r="AB2" s="1182"/>
    </row>
    <row r="3" spans="1:51" ht="30" customHeight="1" x14ac:dyDescent="0.2">
      <c r="A3" s="1181"/>
      <c r="B3" s="1183" t="s">
        <v>363</v>
      </c>
      <c r="C3" s="1183"/>
      <c r="D3" s="1183"/>
      <c r="E3" s="1183"/>
      <c r="F3" s="1183"/>
      <c r="G3" s="1184" t="s">
        <v>260</v>
      </c>
      <c r="H3" s="1184"/>
      <c r="I3" s="1184"/>
      <c r="J3" s="1184"/>
      <c r="K3" s="1184"/>
      <c r="L3" s="1184"/>
      <c r="M3" s="1184"/>
      <c r="N3" s="1184"/>
      <c r="O3" s="1184"/>
      <c r="P3" s="829"/>
      <c r="Q3" s="829"/>
      <c r="R3" s="829"/>
      <c r="S3" s="829"/>
      <c r="T3" s="829"/>
      <c r="U3" s="853" t="s">
        <v>663</v>
      </c>
      <c r="V3" s="854"/>
      <c r="W3" s="854"/>
      <c r="X3" s="854"/>
      <c r="Y3" s="854"/>
      <c r="Z3" s="854"/>
      <c r="AA3" s="854"/>
      <c r="AB3" s="855"/>
      <c r="AC3" s="359">
        <v>0.65</v>
      </c>
      <c r="AD3" s="989" t="s">
        <v>379</v>
      </c>
      <c r="AE3" s="1178"/>
      <c r="AF3" s="1179"/>
      <c r="AG3" s="1179"/>
      <c r="AH3" s="1179"/>
      <c r="AI3" s="1179"/>
      <c r="AJ3" s="1179"/>
      <c r="AK3" s="1179"/>
      <c r="AL3" s="1179"/>
      <c r="AM3" s="1179"/>
      <c r="AN3" s="1179"/>
      <c r="AO3" s="1179"/>
      <c r="AP3" s="1179"/>
      <c r="AQ3" s="1179"/>
      <c r="AR3" s="1179"/>
      <c r="AS3" s="1179"/>
      <c r="AT3" s="1179"/>
      <c r="AU3" s="1179"/>
      <c r="AV3" s="1179"/>
      <c r="AW3" s="1179"/>
      <c r="AX3" s="1180"/>
    </row>
    <row r="4" spans="1:51" ht="233.25" customHeight="1" x14ac:dyDescent="0.2">
      <c r="A4" s="1181"/>
      <c r="B4" s="456" t="s">
        <v>301</v>
      </c>
      <c r="C4" s="232" t="s">
        <v>302</v>
      </c>
      <c r="D4" s="232" t="s">
        <v>376</v>
      </c>
      <c r="E4" s="232" t="s">
        <v>303</v>
      </c>
      <c r="F4" s="232" t="s">
        <v>304</v>
      </c>
      <c r="G4" s="836" t="s">
        <v>307</v>
      </c>
      <c r="H4" s="836" t="s">
        <v>388</v>
      </c>
      <c r="I4" s="233" t="s">
        <v>306</v>
      </c>
      <c r="J4" s="233" t="s">
        <v>310</v>
      </c>
      <c r="K4" s="233" t="s">
        <v>305</v>
      </c>
      <c r="L4" s="233" t="s">
        <v>308</v>
      </c>
      <c r="M4" s="474" t="s">
        <v>657</v>
      </c>
      <c r="N4" s="474" t="s">
        <v>309</v>
      </c>
      <c r="O4" s="233" t="s">
        <v>300</v>
      </c>
      <c r="P4" s="841" t="s">
        <v>689</v>
      </c>
      <c r="Q4" s="841" t="s">
        <v>689</v>
      </c>
      <c r="R4" s="841" t="s">
        <v>690</v>
      </c>
      <c r="S4" s="841" t="s">
        <v>690</v>
      </c>
      <c r="T4" s="233"/>
      <c r="U4" s="322" t="s">
        <v>307</v>
      </c>
      <c r="V4" s="322" t="s">
        <v>388</v>
      </c>
      <c r="W4" s="322" t="s">
        <v>306</v>
      </c>
      <c r="X4" s="322" t="s">
        <v>310</v>
      </c>
      <c r="Y4" s="322" t="s">
        <v>305</v>
      </c>
      <c r="Z4" s="322" t="s">
        <v>308</v>
      </c>
      <c r="AA4" s="322" t="s">
        <v>309</v>
      </c>
      <c r="AB4" s="322" t="s">
        <v>300</v>
      </c>
      <c r="AC4" s="1139" t="s">
        <v>9</v>
      </c>
      <c r="AD4" s="1185"/>
      <c r="AE4" s="825" t="s">
        <v>696</v>
      </c>
      <c r="AF4" s="825" t="s">
        <v>696</v>
      </c>
      <c r="AG4" s="831" t="s">
        <v>697</v>
      </c>
      <c r="AH4" s="831" t="s">
        <v>697</v>
      </c>
      <c r="AI4" s="831" t="s">
        <v>686</v>
      </c>
      <c r="AJ4" s="831" t="s">
        <v>686</v>
      </c>
      <c r="AK4" s="831" t="s">
        <v>687</v>
      </c>
      <c r="AL4" s="831" t="s">
        <v>687</v>
      </c>
      <c r="AM4" s="841" t="s">
        <v>688</v>
      </c>
      <c r="AN4" s="841" t="s">
        <v>688</v>
      </c>
      <c r="AO4" s="841" t="s">
        <v>689</v>
      </c>
      <c r="AP4" s="841" t="s">
        <v>689</v>
      </c>
      <c r="AQ4" s="841" t="s">
        <v>690</v>
      </c>
      <c r="AR4" s="841" t="s">
        <v>690</v>
      </c>
      <c r="AS4" s="841" t="s">
        <v>691</v>
      </c>
      <c r="AT4" s="841" t="s">
        <v>691</v>
      </c>
      <c r="AU4" s="842" t="s">
        <v>692</v>
      </c>
      <c r="AV4" s="842" t="s">
        <v>692</v>
      </c>
      <c r="AW4" s="834" t="s">
        <v>695</v>
      </c>
      <c r="AX4" s="834" t="s">
        <v>695</v>
      </c>
    </row>
    <row r="5" spans="1:51" ht="30" customHeight="1" x14ac:dyDescent="0.2">
      <c r="A5" s="992"/>
      <c r="B5" s="458" t="s">
        <v>343</v>
      </c>
      <c r="C5" s="458" t="s">
        <v>344</v>
      </c>
      <c r="D5" s="458" t="s">
        <v>377</v>
      </c>
      <c r="E5" s="458" t="s">
        <v>345</v>
      </c>
      <c r="F5" s="458" t="s">
        <v>346</v>
      </c>
      <c r="G5" s="837" t="s">
        <v>356</v>
      </c>
      <c r="H5" s="837" t="s">
        <v>377</v>
      </c>
      <c r="I5" s="459" t="s">
        <v>347</v>
      </c>
      <c r="J5" s="459" t="s">
        <v>348</v>
      </c>
      <c r="K5" s="459" t="s">
        <v>349</v>
      </c>
      <c r="L5" s="459" t="s">
        <v>350</v>
      </c>
      <c r="M5" s="459" t="s">
        <v>658</v>
      </c>
      <c r="N5" s="459" t="s">
        <v>351</v>
      </c>
      <c r="O5" s="459" t="s">
        <v>352</v>
      </c>
      <c r="P5" s="459"/>
      <c r="Q5" s="459"/>
      <c r="R5" s="459"/>
      <c r="S5" s="459"/>
      <c r="T5" s="459"/>
      <c r="U5" s="337" t="s">
        <v>356</v>
      </c>
      <c r="V5" s="337" t="s">
        <v>377</v>
      </c>
      <c r="W5" s="337" t="s">
        <v>347</v>
      </c>
      <c r="X5" s="407" t="s">
        <v>348</v>
      </c>
      <c r="Y5" s="337" t="s">
        <v>349</v>
      </c>
      <c r="Z5" s="337" t="s">
        <v>350</v>
      </c>
      <c r="AA5" s="337" t="s">
        <v>351</v>
      </c>
      <c r="AB5" s="337" t="s">
        <v>352</v>
      </c>
      <c r="AC5" s="1061"/>
      <c r="AD5" s="990"/>
      <c r="AE5" s="826" t="s">
        <v>694</v>
      </c>
      <c r="AF5" s="826" t="s">
        <v>693</v>
      </c>
      <c r="AG5" s="826" t="s">
        <v>694</v>
      </c>
      <c r="AH5" s="826" t="s">
        <v>693</v>
      </c>
      <c r="AI5" s="826" t="s">
        <v>694</v>
      </c>
      <c r="AJ5" s="826" t="s">
        <v>693</v>
      </c>
      <c r="AK5" s="826" t="s">
        <v>694</v>
      </c>
      <c r="AL5" s="826" t="s">
        <v>693</v>
      </c>
      <c r="AM5" s="843" t="s">
        <v>694</v>
      </c>
      <c r="AN5" s="843" t="s">
        <v>693</v>
      </c>
      <c r="AO5" s="843" t="s">
        <v>694</v>
      </c>
      <c r="AP5" s="843" t="s">
        <v>693</v>
      </c>
      <c r="AQ5" s="843" t="s">
        <v>694</v>
      </c>
      <c r="AR5" s="843" t="s">
        <v>693</v>
      </c>
      <c r="AS5" s="843" t="s">
        <v>694</v>
      </c>
      <c r="AT5" s="843" t="s">
        <v>693</v>
      </c>
      <c r="AU5" s="843" t="s">
        <v>694</v>
      </c>
      <c r="AV5" s="843" t="s">
        <v>693</v>
      </c>
      <c r="AW5" s="826" t="s">
        <v>694</v>
      </c>
      <c r="AX5" s="826" t="s">
        <v>693</v>
      </c>
    </row>
    <row r="6" spans="1:51" ht="12.75" customHeight="1" x14ac:dyDescent="0.2">
      <c r="A6" s="139" t="s">
        <v>257</v>
      </c>
      <c r="B6" s="586">
        <v>81</v>
      </c>
      <c r="C6" s="586">
        <v>445</v>
      </c>
      <c r="D6" s="578"/>
      <c r="E6" s="586">
        <v>41</v>
      </c>
      <c r="F6" s="578"/>
      <c r="G6" s="579">
        <v>41</v>
      </c>
      <c r="H6" s="579"/>
      <c r="I6" s="234">
        <v>81</v>
      </c>
      <c r="J6" s="234">
        <v>439</v>
      </c>
      <c r="K6" s="234"/>
      <c r="L6" s="234">
        <v>4</v>
      </c>
      <c r="M6" s="234"/>
      <c r="N6" s="234">
        <v>2</v>
      </c>
      <c r="O6" s="579"/>
      <c r="P6" s="579"/>
      <c r="Q6" s="579"/>
      <c r="R6" s="579"/>
      <c r="S6" s="579"/>
      <c r="T6" s="579"/>
      <c r="U6" s="323">
        <f>ROUND(G6*$AC$3,0)</f>
        <v>27</v>
      </c>
      <c r="V6" s="323">
        <f>ROUND(H6*$AC$3,0)</f>
        <v>0</v>
      </c>
      <c r="W6" s="323">
        <f>ROUND(I6*$AC$3,0)</f>
        <v>53</v>
      </c>
      <c r="X6" s="323">
        <v>289</v>
      </c>
      <c r="Y6" s="323">
        <f t="shared" ref="Y6:Y14" si="0">ROUND(K6*$AC$3,0)</f>
        <v>0</v>
      </c>
      <c r="Z6" s="323">
        <v>4</v>
      </c>
      <c r="AA6" s="323">
        <v>2</v>
      </c>
      <c r="AB6" s="323">
        <f t="shared" ref="AB6" si="1">ROUND(O6*$AC$3,0)</f>
        <v>0</v>
      </c>
      <c r="AC6" s="540">
        <f t="shared" ref="AC6:AC14" si="2">SUM(B6:F6)</f>
        <v>567</v>
      </c>
      <c r="AD6" s="580"/>
      <c r="AE6" s="38"/>
      <c r="AF6" s="38"/>
      <c r="AG6" s="832"/>
      <c r="AH6" s="832"/>
      <c r="AI6" s="832"/>
      <c r="AJ6" s="832"/>
      <c r="AK6" s="832"/>
      <c r="AL6" s="832"/>
      <c r="AM6" s="844"/>
      <c r="AN6" s="844"/>
      <c r="AO6" s="844"/>
      <c r="AP6" s="844"/>
      <c r="AQ6" s="844"/>
      <c r="AR6" s="844"/>
      <c r="AS6" s="844"/>
      <c r="AT6" s="844"/>
      <c r="AU6" s="844"/>
      <c r="AV6" s="844"/>
      <c r="AW6" s="832"/>
      <c r="AX6" s="832"/>
    </row>
    <row r="7" spans="1:51" x14ac:dyDescent="0.2">
      <c r="A7" s="139" t="s">
        <v>258</v>
      </c>
      <c r="B7" s="586">
        <v>145</v>
      </c>
      <c r="C7" s="586">
        <v>423</v>
      </c>
      <c r="D7" s="578"/>
      <c r="E7" s="586">
        <v>34</v>
      </c>
      <c r="F7" s="586">
        <v>17</v>
      </c>
      <c r="G7" s="579">
        <v>49</v>
      </c>
      <c r="H7" s="579"/>
      <c r="I7" s="234">
        <v>145</v>
      </c>
      <c r="J7" s="234">
        <v>420</v>
      </c>
      <c r="K7" s="234"/>
      <c r="L7" s="234">
        <v>4</v>
      </c>
      <c r="M7" s="234"/>
      <c r="N7" s="234">
        <v>1</v>
      </c>
      <c r="O7" s="579"/>
      <c r="P7" s="579"/>
      <c r="Q7" s="579"/>
      <c r="R7" s="579"/>
      <c r="S7" s="579"/>
      <c r="T7" s="579"/>
      <c r="U7" s="323">
        <v>33</v>
      </c>
      <c r="V7" s="323">
        <f>ROUND(H7*$AC$3,0)</f>
        <v>0</v>
      </c>
      <c r="W7" s="323">
        <f>ROUND(I7*$AC$3,0)</f>
        <v>94</v>
      </c>
      <c r="X7" s="323">
        <v>275</v>
      </c>
      <c r="Y7" s="323">
        <f t="shared" si="0"/>
        <v>0</v>
      </c>
      <c r="Z7" s="323">
        <v>4</v>
      </c>
      <c r="AA7" s="323">
        <v>1</v>
      </c>
      <c r="AB7" s="323">
        <f t="shared" ref="AB7:AB14" si="3">ROUND(O7*$AC$3,0)</f>
        <v>0</v>
      </c>
      <c r="AC7" s="828">
        <f t="shared" si="2"/>
        <v>619</v>
      </c>
      <c r="AD7" s="580"/>
      <c r="AE7" s="38"/>
      <c r="AF7" s="38"/>
      <c r="AG7" s="832"/>
      <c r="AH7" s="832"/>
      <c r="AI7" s="832"/>
      <c r="AJ7" s="832"/>
      <c r="AK7" s="832"/>
      <c r="AL7" s="832"/>
      <c r="AM7" s="844"/>
      <c r="AN7" s="844"/>
      <c r="AO7" s="844"/>
      <c r="AP7" s="844"/>
      <c r="AQ7" s="844"/>
      <c r="AR7" s="844"/>
      <c r="AS7" s="844"/>
      <c r="AT7" s="844"/>
      <c r="AU7" s="844"/>
      <c r="AV7" s="844"/>
      <c r="AW7" s="832"/>
      <c r="AX7" s="832"/>
    </row>
    <row r="8" spans="1:51" x14ac:dyDescent="0.2">
      <c r="A8" s="139" t="s">
        <v>259</v>
      </c>
      <c r="B8" s="586">
        <v>217</v>
      </c>
      <c r="C8" s="586">
        <v>509</v>
      </c>
      <c r="D8" s="586">
        <v>1</v>
      </c>
      <c r="E8" s="586">
        <v>30</v>
      </c>
      <c r="F8" s="586">
        <v>87</v>
      </c>
      <c r="G8" s="579">
        <v>117</v>
      </c>
      <c r="H8" s="579"/>
      <c r="I8" s="234">
        <v>216</v>
      </c>
      <c r="J8" s="234">
        <v>505</v>
      </c>
      <c r="K8" s="234">
        <v>1</v>
      </c>
      <c r="L8" s="234">
        <v>1</v>
      </c>
      <c r="M8" s="234">
        <v>1</v>
      </c>
      <c r="N8" s="234">
        <v>4</v>
      </c>
      <c r="O8" s="579"/>
      <c r="P8" s="579"/>
      <c r="Q8" s="579"/>
      <c r="R8" s="579"/>
      <c r="S8" s="579"/>
      <c r="T8" s="579"/>
      <c r="U8" s="323">
        <f t="shared" ref="U8:V11" si="4">ROUND(G8*$AC$3,0)</f>
        <v>76</v>
      </c>
      <c r="V8" s="323">
        <f t="shared" si="4"/>
        <v>0</v>
      </c>
      <c r="W8" s="323">
        <v>141</v>
      </c>
      <c r="X8" s="323">
        <v>331</v>
      </c>
      <c r="Y8" s="323">
        <f t="shared" si="0"/>
        <v>1</v>
      </c>
      <c r="Z8" s="323">
        <v>1</v>
      </c>
      <c r="AA8" s="323">
        <v>4</v>
      </c>
      <c r="AB8" s="323">
        <f t="shared" si="3"/>
        <v>0</v>
      </c>
      <c r="AC8" s="540">
        <f t="shared" si="2"/>
        <v>844</v>
      </c>
      <c r="AD8" s="580"/>
      <c r="AE8" s="38"/>
      <c r="AF8" s="38"/>
      <c r="AG8" s="832"/>
      <c r="AH8" s="832"/>
      <c r="AI8" s="832"/>
      <c r="AJ8" s="832"/>
      <c r="AK8" s="832"/>
      <c r="AL8" s="832"/>
      <c r="AM8" s="844"/>
      <c r="AN8" s="844"/>
      <c r="AO8" s="844"/>
      <c r="AP8" s="844"/>
      <c r="AQ8" s="844"/>
      <c r="AR8" s="844"/>
      <c r="AS8" s="844"/>
      <c r="AT8" s="844"/>
      <c r="AU8" s="844"/>
      <c r="AV8" s="844"/>
      <c r="AW8" s="832"/>
      <c r="AX8" s="832"/>
    </row>
    <row r="9" spans="1:51" ht="12.75" customHeight="1" x14ac:dyDescent="0.2">
      <c r="A9" s="139" t="s">
        <v>366</v>
      </c>
      <c r="B9" s="586">
        <v>54</v>
      </c>
      <c r="C9" s="586">
        <v>377</v>
      </c>
      <c r="D9" s="586">
        <v>1</v>
      </c>
      <c r="E9" s="586">
        <v>21</v>
      </c>
      <c r="F9" s="578"/>
      <c r="G9" s="579">
        <v>21</v>
      </c>
      <c r="H9" s="579">
        <f>D9</f>
        <v>1</v>
      </c>
      <c r="I9" s="234">
        <v>54</v>
      </c>
      <c r="J9" s="234">
        <v>375</v>
      </c>
      <c r="K9" s="234"/>
      <c r="L9" s="234">
        <v>1</v>
      </c>
      <c r="M9" s="234"/>
      <c r="N9" s="234">
        <v>1</v>
      </c>
      <c r="O9" s="579"/>
      <c r="P9" s="579"/>
      <c r="Q9" s="579"/>
      <c r="R9" s="579"/>
      <c r="S9" s="579"/>
      <c r="T9" s="579"/>
      <c r="U9" s="323">
        <f t="shared" si="4"/>
        <v>14</v>
      </c>
      <c r="V9" s="323">
        <f t="shared" si="4"/>
        <v>1</v>
      </c>
      <c r="W9" s="323">
        <f t="shared" ref="W9:W15" si="5">ROUND(I9*$AC$3,0)</f>
        <v>35</v>
      </c>
      <c r="X9" s="323">
        <v>245</v>
      </c>
      <c r="Y9" s="323">
        <f t="shared" si="0"/>
        <v>0</v>
      </c>
      <c r="Z9" s="323">
        <v>1</v>
      </c>
      <c r="AA9" s="323">
        <v>1</v>
      </c>
      <c r="AB9" s="323">
        <f t="shared" si="3"/>
        <v>0</v>
      </c>
      <c r="AC9" s="540">
        <f t="shared" si="2"/>
        <v>453</v>
      </c>
      <c r="AD9" s="580"/>
      <c r="AE9" s="38"/>
      <c r="AF9" s="38"/>
      <c r="AG9" s="832"/>
      <c r="AH9" s="832"/>
      <c r="AI9" s="832"/>
      <c r="AJ9" s="832"/>
      <c r="AK9" s="832"/>
      <c r="AL9" s="832"/>
      <c r="AM9" s="844"/>
      <c r="AN9" s="844"/>
      <c r="AO9" s="844"/>
      <c r="AP9" s="844"/>
      <c r="AQ9" s="844"/>
      <c r="AR9" s="844"/>
      <c r="AS9" s="844"/>
      <c r="AT9" s="844"/>
      <c r="AU9" s="844"/>
      <c r="AV9" s="844"/>
      <c r="AW9" s="832"/>
      <c r="AX9" s="832"/>
    </row>
    <row r="10" spans="1:51" ht="12.75" customHeight="1" x14ac:dyDescent="0.2">
      <c r="A10" s="139" t="s">
        <v>365</v>
      </c>
      <c r="B10" s="586">
        <v>82</v>
      </c>
      <c r="C10" s="586">
        <v>235</v>
      </c>
      <c r="D10" s="578"/>
      <c r="E10" s="586">
        <v>18</v>
      </c>
      <c r="F10" s="578"/>
      <c r="G10" s="579">
        <v>18</v>
      </c>
      <c r="H10" s="579"/>
      <c r="I10" s="234">
        <v>82</v>
      </c>
      <c r="J10" s="234">
        <v>231</v>
      </c>
      <c r="K10" s="234"/>
      <c r="L10" s="234">
        <v>4</v>
      </c>
      <c r="M10" s="234"/>
      <c r="N10" s="234"/>
      <c r="O10" s="579"/>
      <c r="P10" s="579"/>
      <c r="Q10" s="579"/>
      <c r="R10" s="579"/>
      <c r="S10" s="579"/>
      <c r="T10" s="579"/>
      <c r="U10" s="323">
        <f t="shared" si="4"/>
        <v>12</v>
      </c>
      <c r="V10" s="323">
        <f t="shared" si="4"/>
        <v>0</v>
      </c>
      <c r="W10" s="323">
        <f t="shared" si="5"/>
        <v>53</v>
      </c>
      <c r="X10" s="323">
        <v>153</v>
      </c>
      <c r="Y10" s="323">
        <f t="shared" si="0"/>
        <v>0</v>
      </c>
      <c r="Z10" s="323">
        <v>4</v>
      </c>
      <c r="AA10" s="323">
        <f>ROUND(N10*$AC$3,0)</f>
        <v>0</v>
      </c>
      <c r="AB10" s="323">
        <f t="shared" si="3"/>
        <v>0</v>
      </c>
      <c r="AC10" s="828">
        <f t="shared" si="2"/>
        <v>335</v>
      </c>
      <c r="AD10" s="580"/>
      <c r="AE10" s="38"/>
      <c r="AF10" s="38"/>
      <c r="AG10" s="832"/>
      <c r="AH10" s="832"/>
      <c r="AI10" s="832"/>
      <c r="AJ10" s="832"/>
      <c r="AK10" s="832"/>
      <c r="AL10" s="832"/>
      <c r="AM10" s="844"/>
      <c r="AN10" s="844"/>
      <c r="AO10" s="844"/>
      <c r="AP10" s="844"/>
      <c r="AQ10" s="844"/>
      <c r="AR10" s="844"/>
      <c r="AS10" s="844"/>
      <c r="AT10" s="844"/>
      <c r="AU10" s="844"/>
      <c r="AV10" s="844"/>
      <c r="AW10" s="832"/>
      <c r="AX10" s="832"/>
    </row>
    <row r="11" spans="1:51" ht="12.75" customHeight="1" x14ac:dyDescent="0.2">
      <c r="A11" s="502" t="s">
        <v>367</v>
      </c>
      <c r="B11" s="586">
        <v>32</v>
      </c>
      <c r="C11" s="586">
        <v>225</v>
      </c>
      <c r="D11" s="578"/>
      <c r="E11" s="586">
        <v>13</v>
      </c>
      <c r="F11" s="578"/>
      <c r="G11" s="579">
        <v>13</v>
      </c>
      <c r="H11" s="579"/>
      <c r="I11" s="234">
        <v>32</v>
      </c>
      <c r="J11" s="234">
        <v>224</v>
      </c>
      <c r="K11" s="234"/>
      <c r="L11" s="234">
        <v>1</v>
      </c>
      <c r="M11" s="234"/>
      <c r="N11" s="234"/>
      <c r="O11" s="579"/>
      <c r="P11" s="579"/>
      <c r="Q11" s="579"/>
      <c r="R11" s="579"/>
      <c r="S11" s="579"/>
      <c r="T11" s="579"/>
      <c r="U11" s="323">
        <f t="shared" si="4"/>
        <v>8</v>
      </c>
      <c r="V11" s="323">
        <f t="shared" si="4"/>
        <v>0</v>
      </c>
      <c r="W11" s="323">
        <f t="shared" si="5"/>
        <v>21</v>
      </c>
      <c r="X11" s="323">
        <v>146</v>
      </c>
      <c r="Y11" s="323">
        <f t="shared" si="0"/>
        <v>0</v>
      </c>
      <c r="Z11" s="323">
        <f>ROUND(L11*$AC$3,0)</f>
        <v>1</v>
      </c>
      <c r="AA11" s="323">
        <f>ROUND(N11*$AC$3,0)</f>
        <v>0</v>
      </c>
      <c r="AB11" s="323">
        <f t="shared" si="3"/>
        <v>0</v>
      </c>
      <c r="AC11" s="828">
        <f t="shared" si="2"/>
        <v>270</v>
      </c>
      <c r="AD11" s="580"/>
      <c r="AE11" s="38"/>
      <c r="AF11" s="38"/>
      <c r="AG11" s="832"/>
      <c r="AH11" s="832"/>
      <c r="AI11" s="832"/>
      <c r="AJ11" s="832"/>
      <c r="AK11" s="832"/>
      <c r="AL11" s="832"/>
      <c r="AM11" s="844"/>
      <c r="AN11" s="844"/>
      <c r="AO11" s="844"/>
      <c r="AP11" s="844"/>
      <c r="AQ11" s="844"/>
      <c r="AR11" s="844"/>
      <c r="AS11" s="844"/>
      <c r="AT11" s="844"/>
      <c r="AU11" s="844"/>
      <c r="AV11" s="844"/>
      <c r="AW11" s="832"/>
      <c r="AX11" s="832"/>
    </row>
    <row r="12" spans="1:51" ht="12.75" customHeight="1" x14ac:dyDescent="0.2">
      <c r="A12" s="139" t="s">
        <v>430</v>
      </c>
      <c r="B12" s="587">
        <v>49</v>
      </c>
      <c r="C12" s="587">
        <v>153</v>
      </c>
      <c r="D12" s="581"/>
      <c r="E12" s="587">
        <v>7</v>
      </c>
      <c r="F12" s="578"/>
      <c r="G12" s="579">
        <v>5</v>
      </c>
      <c r="H12" s="579"/>
      <c r="I12" s="234">
        <v>49</v>
      </c>
      <c r="J12" s="234">
        <v>152</v>
      </c>
      <c r="K12" s="234"/>
      <c r="L12" s="234">
        <v>3</v>
      </c>
      <c r="M12" s="234"/>
      <c r="N12" s="234"/>
      <c r="O12" s="579"/>
      <c r="P12" s="579"/>
      <c r="Q12" s="579"/>
      <c r="R12" s="579"/>
      <c r="S12" s="579"/>
      <c r="T12" s="579"/>
      <c r="U12" s="323">
        <v>5</v>
      </c>
      <c r="V12" s="323">
        <f>ROUND(H12*$AC$3,0)</f>
        <v>0</v>
      </c>
      <c r="W12" s="323">
        <f t="shared" si="5"/>
        <v>32</v>
      </c>
      <c r="X12" s="323">
        <v>99</v>
      </c>
      <c r="Y12" s="323">
        <f t="shared" si="0"/>
        <v>0</v>
      </c>
      <c r="Z12" s="323">
        <v>3</v>
      </c>
      <c r="AA12" s="323">
        <f>ROUND(N12*$AC$3,0)</f>
        <v>0</v>
      </c>
      <c r="AB12" s="323">
        <f t="shared" si="3"/>
        <v>0</v>
      </c>
      <c r="AC12" s="828">
        <f t="shared" si="2"/>
        <v>209</v>
      </c>
      <c r="AD12" s="580"/>
      <c r="AE12" s="38"/>
      <c r="AF12" s="38"/>
      <c r="AG12" s="832"/>
      <c r="AH12" s="832"/>
      <c r="AI12" s="832"/>
      <c r="AJ12" s="832"/>
      <c r="AK12" s="832"/>
      <c r="AL12" s="832"/>
      <c r="AM12" s="844"/>
      <c r="AN12" s="844"/>
      <c r="AO12" s="844"/>
      <c r="AP12" s="844"/>
      <c r="AQ12" s="844"/>
      <c r="AR12" s="844"/>
      <c r="AS12" s="844"/>
      <c r="AT12" s="844"/>
      <c r="AU12" s="844"/>
      <c r="AV12" s="844"/>
      <c r="AW12" s="832"/>
      <c r="AX12" s="832"/>
    </row>
    <row r="13" spans="1:51" ht="12.75" customHeight="1" x14ac:dyDescent="0.2">
      <c r="A13" s="139" t="s">
        <v>364</v>
      </c>
      <c r="B13" s="586">
        <v>82</v>
      </c>
      <c r="C13" s="586">
        <v>384</v>
      </c>
      <c r="D13" s="578"/>
      <c r="E13" s="586">
        <v>16</v>
      </c>
      <c r="F13" s="578"/>
      <c r="G13" s="579">
        <v>16</v>
      </c>
      <c r="H13" s="579"/>
      <c r="I13" s="234">
        <v>81</v>
      </c>
      <c r="J13" s="234">
        <v>377</v>
      </c>
      <c r="K13" s="234"/>
      <c r="L13" s="234">
        <v>5</v>
      </c>
      <c r="M13" s="234">
        <v>1</v>
      </c>
      <c r="N13" s="234">
        <v>2</v>
      </c>
      <c r="O13" s="579"/>
      <c r="P13" s="579"/>
      <c r="Q13" s="579"/>
      <c r="R13" s="579"/>
      <c r="S13" s="579"/>
      <c r="T13" s="579"/>
      <c r="U13" s="323">
        <f>ROUND(G13*$AC$3,0)</f>
        <v>10</v>
      </c>
      <c r="V13" s="323">
        <f>ROUND(H13*$AC$3,0)</f>
        <v>0</v>
      </c>
      <c r="W13" s="323">
        <f t="shared" si="5"/>
        <v>53</v>
      </c>
      <c r="X13" s="323">
        <v>250</v>
      </c>
      <c r="Y13" s="323">
        <f t="shared" si="0"/>
        <v>0</v>
      </c>
      <c r="Z13" s="323">
        <v>5</v>
      </c>
      <c r="AA13" s="323">
        <v>2</v>
      </c>
      <c r="AB13" s="323">
        <f t="shared" si="3"/>
        <v>0</v>
      </c>
      <c r="AC13" s="540">
        <f t="shared" si="2"/>
        <v>482</v>
      </c>
      <c r="AD13" s="580"/>
      <c r="AE13" s="38"/>
      <c r="AF13" s="38"/>
      <c r="AG13" s="832"/>
      <c r="AH13" s="832"/>
      <c r="AI13" s="832"/>
      <c r="AJ13" s="832"/>
      <c r="AK13" s="832"/>
      <c r="AL13" s="832"/>
      <c r="AM13" s="844"/>
      <c r="AN13" s="844"/>
      <c r="AO13" s="844"/>
      <c r="AP13" s="844"/>
      <c r="AQ13" s="844"/>
      <c r="AR13" s="844"/>
      <c r="AS13" s="844"/>
      <c r="AT13" s="844"/>
      <c r="AU13" s="844"/>
      <c r="AV13" s="844"/>
      <c r="AW13" s="832"/>
      <c r="AX13" s="832"/>
    </row>
    <row r="14" spans="1:51" ht="29.45" customHeight="1" x14ac:dyDescent="0.2">
      <c r="A14" s="507" t="s">
        <v>368</v>
      </c>
      <c r="B14" s="586">
        <v>26</v>
      </c>
      <c r="C14" s="586">
        <v>96</v>
      </c>
      <c r="D14" s="578"/>
      <c r="E14" s="586">
        <v>1</v>
      </c>
      <c r="F14" s="578"/>
      <c r="G14" s="579">
        <v>1</v>
      </c>
      <c r="H14" s="579"/>
      <c r="I14" s="234">
        <v>26</v>
      </c>
      <c r="J14" s="234">
        <v>94</v>
      </c>
      <c r="K14" s="579"/>
      <c r="L14" s="234">
        <v>1</v>
      </c>
      <c r="M14" s="234"/>
      <c r="N14" s="234">
        <v>1</v>
      </c>
      <c r="O14" s="579"/>
      <c r="P14" s="579"/>
      <c r="Q14" s="579"/>
      <c r="R14" s="579"/>
      <c r="S14" s="579"/>
      <c r="T14" s="579"/>
      <c r="U14" s="323">
        <f>ROUND(G14*$AC$3,0)</f>
        <v>1</v>
      </c>
      <c r="V14" s="323">
        <f>ROUND(H14*$AC$3,0)</f>
        <v>0</v>
      </c>
      <c r="W14" s="323">
        <f t="shared" si="5"/>
        <v>17</v>
      </c>
      <c r="X14" s="323">
        <v>62</v>
      </c>
      <c r="Y14" s="323">
        <f t="shared" si="0"/>
        <v>0</v>
      </c>
      <c r="Z14" s="323">
        <f>ROUND(L14*$AC$3,0)</f>
        <v>1</v>
      </c>
      <c r="AA14" s="323">
        <v>1</v>
      </c>
      <c r="AB14" s="323">
        <f t="shared" si="3"/>
        <v>0</v>
      </c>
      <c r="AC14" s="828">
        <f t="shared" si="2"/>
        <v>123</v>
      </c>
      <c r="AD14" s="580"/>
      <c r="AE14" s="38"/>
      <c r="AF14" s="38"/>
      <c r="AG14" s="832"/>
      <c r="AH14" s="832"/>
      <c r="AI14" s="832"/>
      <c r="AJ14" s="832"/>
      <c r="AK14" s="832"/>
      <c r="AL14" s="832"/>
      <c r="AM14" s="844"/>
      <c r="AN14" s="844"/>
      <c r="AO14" s="844"/>
      <c r="AP14" s="844"/>
      <c r="AQ14" s="844"/>
      <c r="AR14" s="844"/>
      <c r="AS14" s="844"/>
      <c r="AT14" s="844"/>
      <c r="AU14" s="844"/>
      <c r="AV14" s="844"/>
      <c r="AW14" s="832"/>
      <c r="AX14" s="832"/>
    </row>
    <row r="15" spans="1:51" ht="29.45" customHeight="1" x14ac:dyDescent="0.2">
      <c r="A15" s="820" t="s">
        <v>669</v>
      </c>
      <c r="B15" s="586"/>
      <c r="C15" s="586"/>
      <c r="D15" s="578"/>
      <c r="E15" s="586"/>
      <c r="F15" s="578"/>
      <c r="G15" s="579"/>
      <c r="H15" s="579"/>
      <c r="I15" s="849">
        <v>0</v>
      </c>
      <c r="J15" s="849">
        <v>13</v>
      </c>
      <c r="K15" s="850"/>
      <c r="L15" s="851"/>
      <c r="M15" s="852"/>
      <c r="N15" s="852"/>
      <c r="O15" s="579"/>
      <c r="P15" s="579"/>
      <c r="Q15" s="579"/>
      <c r="R15" s="579"/>
      <c r="S15" s="579"/>
      <c r="T15" s="579"/>
      <c r="U15" s="323"/>
      <c r="V15" s="323"/>
      <c r="W15" s="323">
        <f t="shared" si="5"/>
        <v>0</v>
      </c>
      <c r="X15" s="323"/>
      <c r="Y15" s="323"/>
      <c r="Z15" s="323"/>
      <c r="AA15" s="323"/>
      <c r="AB15" s="323"/>
      <c r="AC15" s="828"/>
      <c r="AD15" s="580"/>
      <c r="AE15" s="824">
        <v>0</v>
      </c>
      <c r="AF15" s="824">
        <v>13</v>
      </c>
      <c r="AG15" s="833"/>
      <c r="AH15" s="833"/>
      <c r="AI15" s="833"/>
      <c r="AJ15" s="833"/>
      <c r="AK15" s="833"/>
      <c r="AL15" s="833"/>
      <c r="AM15" s="845"/>
      <c r="AN15" s="845"/>
      <c r="AO15" s="845"/>
      <c r="AP15" s="845"/>
      <c r="AQ15" s="845"/>
      <c r="AR15" s="845"/>
      <c r="AS15" s="845"/>
      <c r="AT15" s="845"/>
      <c r="AU15" s="845"/>
      <c r="AV15" s="846"/>
      <c r="AW15" s="835"/>
      <c r="AX15" s="835"/>
      <c r="AY15" s="30">
        <f t="shared" ref="AY15:AY25" si="6">SUM(AE15:AX15)</f>
        <v>13</v>
      </c>
    </row>
    <row r="16" spans="1:51" ht="29.45" customHeight="1" x14ac:dyDescent="0.2">
      <c r="A16" s="820" t="s">
        <v>670</v>
      </c>
      <c r="B16" s="586"/>
      <c r="C16" s="586"/>
      <c r="D16" s="578"/>
      <c r="E16" s="586"/>
      <c r="F16" s="578"/>
      <c r="G16" s="579"/>
      <c r="H16" s="579"/>
      <c r="I16" s="849"/>
      <c r="J16" s="849"/>
      <c r="K16" s="850"/>
      <c r="L16" s="851"/>
      <c r="M16" s="852"/>
      <c r="N16" s="852"/>
      <c r="O16" s="579"/>
      <c r="P16" s="579"/>
      <c r="Q16" s="579"/>
      <c r="R16" s="579"/>
      <c r="S16" s="579"/>
      <c r="T16" s="579"/>
      <c r="U16" s="323"/>
      <c r="V16" s="323"/>
      <c r="W16" s="323"/>
      <c r="X16" s="323"/>
      <c r="Y16" s="323"/>
      <c r="Z16" s="323"/>
      <c r="AA16" s="323"/>
      <c r="AB16" s="323"/>
      <c r="AC16" s="828"/>
      <c r="AD16" s="580"/>
      <c r="AE16" s="824">
        <v>6</v>
      </c>
      <c r="AF16" s="824">
        <v>39</v>
      </c>
      <c r="AG16" s="833"/>
      <c r="AH16" s="833">
        <v>1</v>
      </c>
      <c r="AI16" s="833"/>
      <c r="AJ16" s="833"/>
      <c r="AK16" s="833"/>
      <c r="AL16" s="833"/>
      <c r="AM16" s="845"/>
      <c r="AN16" s="845"/>
      <c r="AO16" s="845"/>
      <c r="AP16" s="845">
        <v>3</v>
      </c>
      <c r="AQ16" s="845"/>
      <c r="AR16" s="845">
        <v>1</v>
      </c>
      <c r="AS16" s="845">
        <v>1</v>
      </c>
      <c r="AT16" s="845">
        <v>6</v>
      </c>
      <c r="AU16" s="845"/>
      <c r="AV16" s="846"/>
      <c r="AW16" s="835"/>
      <c r="AX16" s="835">
        <v>1</v>
      </c>
      <c r="AY16" s="30">
        <f t="shared" si="6"/>
        <v>58</v>
      </c>
    </row>
    <row r="17" spans="1:51" ht="29.45" customHeight="1" x14ac:dyDescent="0.2">
      <c r="A17" s="820" t="s">
        <v>671</v>
      </c>
      <c r="B17" s="586"/>
      <c r="C17" s="586"/>
      <c r="D17" s="578"/>
      <c r="E17" s="586"/>
      <c r="F17" s="578"/>
      <c r="G17" s="579"/>
      <c r="H17" s="579"/>
      <c r="I17" s="849"/>
      <c r="J17" s="849"/>
      <c r="K17" s="850"/>
      <c r="L17" s="851"/>
      <c r="M17" s="852"/>
      <c r="N17" s="852"/>
      <c r="O17" s="579"/>
      <c r="P17" s="579"/>
      <c r="Q17" s="579"/>
      <c r="R17" s="579"/>
      <c r="S17" s="579"/>
      <c r="T17" s="579"/>
      <c r="U17" s="323"/>
      <c r="V17" s="323"/>
      <c r="W17" s="323"/>
      <c r="X17" s="323"/>
      <c r="Y17" s="323"/>
      <c r="Z17" s="323"/>
      <c r="AA17" s="323"/>
      <c r="AB17" s="323"/>
      <c r="AC17" s="828"/>
      <c r="AD17" s="580"/>
      <c r="AE17" s="824">
        <f>13</f>
        <v>13</v>
      </c>
      <c r="AF17" s="824">
        <v>68</v>
      </c>
      <c r="AG17" s="833"/>
      <c r="AH17" s="833"/>
      <c r="AI17" s="833"/>
      <c r="AJ17" s="833"/>
      <c r="AK17" s="833"/>
      <c r="AL17" s="833"/>
      <c r="AM17" s="845"/>
      <c r="AN17" s="845">
        <v>1</v>
      </c>
      <c r="AO17" s="845"/>
      <c r="AP17" s="845"/>
      <c r="AQ17" s="845"/>
      <c r="AR17" s="845">
        <v>1</v>
      </c>
      <c r="AS17" s="845"/>
      <c r="AT17" s="845">
        <v>2</v>
      </c>
      <c r="AU17" s="845"/>
      <c r="AV17" s="846"/>
      <c r="AW17" s="835"/>
      <c r="AX17" s="835"/>
      <c r="AY17" s="30">
        <f t="shared" si="6"/>
        <v>85</v>
      </c>
    </row>
    <row r="18" spans="1:51" ht="29.45" customHeight="1" x14ac:dyDescent="0.2">
      <c r="A18" s="820" t="s">
        <v>672</v>
      </c>
      <c r="B18" s="586"/>
      <c r="C18" s="586"/>
      <c r="D18" s="578"/>
      <c r="E18" s="586"/>
      <c r="F18" s="578"/>
      <c r="G18" s="579"/>
      <c r="H18" s="579"/>
      <c r="I18" s="849"/>
      <c r="J18" s="849"/>
      <c r="K18" s="850"/>
      <c r="L18" s="851"/>
      <c r="M18" s="852"/>
      <c r="N18" s="852"/>
      <c r="O18" s="579"/>
      <c r="P18" s="579"/>
      <c r="Q18" s="579"/>
      <c r="R18" s="579"/>
      <c r="S18" s="579"/>
      <c r="T18" s="579"/>
      <c r="U18" s="323"/>
      <c r="V18" s="323"/>
      <c r="W18" s="323"/>
      <c r="X18" s="323"/>
      <c r="Y18" s="323"/>
      <c r="Z18" s="323"/>
      <c r="AA18" s="323"/>
      <c r="AB18" s="323"/>
      <c r="AC18" s="828"/>
      <c r="AD18" s="580"/>
      <c r="AE18" s="824">
        <f>20+2</f>
        <v>22</v>
      </c>
      <c r="AF18" s="824">
        <f>98+10</f>
        <v>108</v>
      </c>
      <c r="AG18" s="833"/>
      <c r="AH18" s="833"/>
      <c r="AI18" s="833"/>
      <c r="AJ18" s="833"/>
      <c r="AK18" s="833"/>
      <c r="AL18" s="833"/>
      <c r="AM18" s="845"/>
      <c r="AN18" s="845"/>
      <c r="AO18" s="845">
        <f>0+1</f>
        <v>1</v>
      </c>
      <c r="AP18" s="845">
        <f>3+2</f>
        <v>5</v>
      </c>
      <c r="AQ18" s="845">
        <v>1</v>
      </c>
      <c r="AR18" s="845">
        <v>3</v>
      </c>
      <c r="AS18" s="845">
        <v>1</v>
      </c>
      <c r="AT18" s="845">
        <v>9</v>
      </c>
      <c r="AU18" s="845">
        <f>0+1</f>
        <v>1</v>
      </c>
      <c r="AV18" s="846">
        <f>1+1</f>
        <v>2</v>
      </c>
      <c r="AW18" s="835"/>
      <c r="AX18" s="835">
        <v>2</v>
      </c>
      <c r="AY18" s="30">
        <f t="shared" si="6"/>
        <v>155</v>
      </c>
    </row>
    <row r="19" spans="1:51" ht="29.45" customHeight="1" x14ac:dyDescent="0.2">
      <c r="A19" s="820" t="s">
        <v>673</v>
      </c>
      <c r="B19" s="586"/>
      <c r="C19" s="586"/>
      <c r="D19" s="578"/>
      <c r="E19" s="586"/>
      <c r="F19" s="578"/>
      <c r="G19" s="579"/>
      <c r="H19" s="579"/>
      <c r="I19" s="849"/>
      <c r="J19" s="849"/>
      <c r="K19" s="850"/>
      <c r="L19" s="851"/>
      <c r="M19" s="852"/>
      <c r="N19" s="852"/>
      <c r="O19" s="579"/>
      <c r="P19" s="579"/>
      <c r="Q19" s="579"/>
      <c r="R19" s="579"/>
      <c r="S19" s="579"/>
      <c r="T19" s="579"/>
      <c r="U19" s="323"/>
      <c r="V19" s="323"/>
      <c r="W19" s="323"/>
      <c r="X19" s="323"/>
      <c r="Y19" s="323"/>
      <c r="Z19" s="323"/>
      <c r="AA19" s="323"/>
      <c r="AB19" s="323"/>
      <c r="AC19" s="828"/>
      <c r="AD19" s="580"/>
      <c r="AE19" s="824">
        <v>25</v>
      </c>
      <c r="AF19" s="824">
        <v>168</v>
      </c>
      <c r="AG19" s="833"/>
      <c r="AH19" s="833">
        <v>1</v>
      </c>
      <c r="AI19" s="833"/>
      <c r="AJ19" s="833"/>
      <c r="AK19" s="833"/>
      <c r="AL19" s="833"/>
      <c r="AM19" s="845"/>
      <c r="AN19" s="845"/>
      <c r="AO19" s="845">
        <v>1</v>
      </c>
      <c r="AP19" s="845">
        <v>8</v>
      </c>
      <c r="AQ19" s="845"/>
      <c r="AR19" s="845"/>
      <c r="AS19" s="845"/>
      <c r="AT19" s="845">
        <v>10</v>
      </c>
      <c r="AU19" s="845"/>
      <c r="AV19" s="846"/>
      <c r="AW19" s="835"/>
      <c r="AX19" s="835">
        <v>3</v>
      </c>
      <c r="AY19" s="30">
        <f t="shared" si="6"/>
        <v>216</v>
      </c>
    </row>
    <row r="20" spans="1:51" ht="29.45" customHeight="1" x14ac:dyDescent="0.2">
      <c r="A20" s="820" t="s">
        <v>674</v>
      </c>
      <c r="B20" s="586"/>
      <c r="C20" s="586"/>
      <c r="D20" s="578"/>
      <c r="E20" s="586"/>
      <c r="F20" s="578"/>
      <c r="G20" s="579"/>
      <c r="H20" s="579"/>
      <c r="I20" s="849"/>
      <c r="J20" s="849"/>
      <c r="K20" s="850"/>
      <c r="L20" s="851"/>
      <c r="M20" s="852"/>
      <c r="N20" s="852"/>
      <c r="O20" s="579"/>
      <c r="P20" s="579"/>
      <c r="Q20" s="579"/>
      <c r="R20" s="579"/>
      <c r="S20" s="579"/>
      <c r="T20" s="579"/>
      <c r="U20" s="323"/>
      <c r="V20" s="323"/>
      <c r="W20" s="323"/>
      <c r="X20" s="323"/>
      <c r="Y20" s="323"/>
      <c r="Z20" s="323"/>
      <c r="AA20" s="323"/>
      <c r="AB20" s="323"/>
      <c r="AC20" s="828"/>
      <c r="AD20" s="580"/>
      <c r="AE20" s="824">
        <v>8</v>
      </c>
      <c r="AF20" s="824">
        <v>75</v>
      </c>
      <c r="AG20" s="833"/>
      <c r="AH20" s="833"/>
      <c r="AI20" s="833"/>
      <c r="AJ20" s="833"/>
      <c r="AK20" s="833"/>
      <c r="AL20" s="833"/>
      <c r="AM20" s="845"/>
      <c r="AN20" s="845"/>
      <c r="AO20" s="845"/>
      <c r="AP20" s="845"/>
      <c r="AQ20" s="845"/>
      <c r="AR20" s="845">
        <v>1</v>
      </c>
      <c r="AS20" s="845"/>
      <c r="AT20" s="845"/>
      <c r="AU20" s="845"/>
      <c r="AV20" s="846"/>
      <c r="AW20" s="835"/>
      <c r="AX20" s="835">
        <v>2</v>
      </c>
      <c r="AY20" s="30">
        <f t="shared" si="6"/>
        <v>86</v>
      </c>
    </row>
    <row r="21" spans="1:51" ht="18" customHeight="1" x14ac:dyDescent="0.2">
      <c r="A21" s="820" t="s">
        <v>675</v>
      </c>
      <c r="B21" s="586"/>
      <c r="C21" s="586"/>
      <c r="D21" s="578"/>
      <c r="E21" s="586"/>
      <c r="F21" s="578"/>
      <c r="G21" s="579"/>
      <c r="H21" s="579"/>
      <c r="I21" s="849"/>
      <c r="J21" s="849"/>
      <c r="K21" s="850"/>
      <c r="L21" s="851"/>
      <c r="M21" s="852"/>
      <c r="N21" s="852"/>
      <c r="O21" s="579"/>
      <c r="P21" s="579"/>
      <c r="Q21" s="579"/>
      <c r="R21" s="579"/>
      <c r="S21" s="579"/>
      <c r="T21" s="579"/>
      <c r="U21" s="323"/>
      <c r="V21" s="323"/>
      <c r="W21" s="323"/>
      <c r="X21" s="323"/>
      <c r="Y21" s="323"/>
      <c r="Z21" s="323"/>
      <c r="AA21" s="323"/>
      <c r="AB21" s="323"/>
      <c r="AC21" s="828"/>
      <c r="AD21" s="580"/>
      <c r="AE21" s="824">
        <f>15+1</f>
        <v>16</v>
      </c>
      <c r="AF21" s="824">
        <f>105+10</f>
        <v>115</v>
      </c>
      <c r="AG21" s="833"/>
      <c r="AH21" s="833">
        <v>3</v>
      </c>
      <c r="AI21" s="833"/>
      <c r="AJ21" s="833"/>
      <c r="AK21" s="833"/>
      <c r="AL21" s="833"/>
      <c r="AM21" s="845"/>
      <c r="AN21" s="845">
        <f>2+1</f>
        <v>3</v>
      </c>
      <c r="AO21" s="845"/>
      <c r="AP21" s="845">
        <f>4</f>
        <v>4</v>
      </c>
      <c r="AQ21" s="845"/>
      <c r="AR21" s="845">
        <f>1</f>
        <v>1</v>
      </c>
      <c r="AS21" s="845"/>
      <c r="AT21" s="845">
        <f>1</f>
        <v>1</v>
      </c>
      <c r="AU21" s="845"/>
      <c r="AV21" s="846">
        <f>1</f>
        <v>1</v>
      </c>
      <c r="AW21" s="835"/>
      <c r="AX21" s="835">
        <f>1+13</f>
        <v>14</v>
      </c>
      <c r="AY21" s="30">
        <f t="shared" si="6"/>
        <v>158</v>
      </c>
    </row>
    <row r="22" spans="1:51" ht="29.45" customHeight="1" x14ac:dyDescent="0.2">
      <c r="A22" s="820" t="s">
        <v>676</v>
      </c>
      <c r="B22" s="586"/>
      <c r="C22" s="586"/>
      <c r="D22" s="578"/>
      <c r="E22" s="586"/>
      <c r="F22" s="578"/>
      <c r="G22" s="579"/>
      <c r="H22" s="579"/>
      <c r="I22" s="849"/>
      <c r="J22" s="849"/>
      <c r="K22" s="850"/>
      <c r="L22" s="851"/>
      <c r="M22" s="852"/>
      <c r="N22" s="852"/>
      <c r="O22" s="579"/>
      <c r="P22" s="579"/>
      <c r="Q22" s="579"/>
      <c r="R22" s="579"/>
      <c r="S22" s="579"/>
      <c r="T22" s="579"/>
      <c r="U22" s="323"/>
      <c r="V22" s="323"/>
      <c r="W22" s="323"/>
      <c r="X22" s="323"/>
      <c r="Y22" s="323"/>
      <c r="Z22" s="323"/>
      <c r="AA22" s="323"/>
      <c r="AB22" s="323"/>
      <c r="AC22" s="828"/>
      <c r="AD22" s="580"/>
      <c r="AE22" s="824">
        <f>29+10+4</f>
        <v>43</v>
      </c>
      <c r="AF22" s="824">
        <f>206+38+15</f>
        <v>259</v>
      </c>
      <c r="AG22" s="833"/>
      <c r="AH22" s="833">
        <f>2</f>
        <v>2</v>
      </c>
      <c r="AI22" s="833">
        <f>1</f>
        <v>1</v>
      </c>
      <c r="AJ22" s="833">
        <f>2</f>
        <v>2</v>
      </c>
      <c r="AK22" s="833"/>
      <c r="AL22" s="833"/>
      <c r="AM22" s="845"/>
      <c r="AN22" s="845">
        <f>0+5</f>
        <v>5</v>
      </c>
      <c r="AO22" s="845">
        <f>2+1</f>
        <v>3</v>
      </c>
      <c r="AP22" s="845">
        <f>27+8</f>
        <v>35</v>
      </c>
      <c r="AQ22" s="845">
        <f>1</f>
        <v>1</v>
      </c>
      <c r="AR22" s="845">
        <f>4</f>
        <v>4</v>
      </c>
      <c r="AS22" s="845">
        <f>1+1</f>
        <v>2</v>
      </c>
      <c r="AT22" s="845">
        <f>0+1</f>
        <v>1</v>
      </c>
      <c r="AU22" s="845"/>
      <c r="AV22" s="846"/>
      <c r="AW22" s="835"/>
      <c r="AX22" s="835"/>
      <c r="AY22" s="30">
        <f t="shared" si="6"/>
        <v>358</v>
      </c>
    </row>
    <row r="23" spans="1:51" ht="29.45" customHeight="1" x14ac:dyDescent="0.2">
      <c r="A23" s="820" t="s">
        <v>677</v>
      </c>
      <c r="B23" s="586"/>
      <c r="C23" s="586"/>
      <c r="D23" s="578"/>
      <c r="E23" s="586"/>
      <c r="F23" s="578"/>
      <c r="G23" s="579"/>
      <c r="H23" s="579"/>
      <c r="I23" s="849"/>
      <c r="J23" s="849"/>
      <c r="K23" s="850"/>
      <c r="L23" s="851"/>
      <c r="M23" s="852"/>
      <c r="N23" s="852"/>
      <c r="O23" s="579"/>
      <c r="P23" s="579"/>
      <c r="Q23" s="579"/>
      <c r="R23" s="579"/>
      <c r="S23" s="579"/>
      <c r="T23" s="579"/>
      <c r="U23" s="323"/>
      <c r="V23" s="323"/>
      <c r="W23" s="323"/>
      <c r="X23" s="323"/>
      <c r="Y23" s="323"/>
      <c r="Z23" s="323"/>
      <c r="AA23" s="323"/>
      <c r="AB23" s="323"/>
      <c r="AC23" s="828"/>
      <c r="AD23" s="580"/>
      <c r="AE23" s="824">
        <f>0+8</f>
        <v>8</v>
      </c>
      <c r="AF23" s="824">
        <f>16+54</f>
        <v>70</v>
      </c>
      <c r="AG23" s="833"/>
      <c r="AH23" s="833"/>
      <c r="AI23" s="833"/>
      <c r="AJ23" s="833"/>
      <c r="AK23" s="833"/>
      <c r="AL23" s="833"/>
      <c r="AM23" s="845"/>
      <c r="AN23" s="845"/>
      <c r="AO23" s="845"/>
      <c r="AP23" s="845">
        <f>0+7</f>
        <v>7</v>
      </c>
      <c r="AQ23" s="845"/>
      <c r="AR23" s="845">
        <f>1</f>
        <v>1</v>
      </c>
      <c r="AS23" s="845">
        <f>0+5</f>
        <v>5</v>
      </c>
      <c r="AT23" s="845">
        <f>5</f>
        <v>5</v>
      </c>
      <c r="AU23" s="845"/>
      <c r="AV23" s="846"/>
      <c r="AW23" s="835"/>
      <c r="AX23" s="835"/>
      <c r="AY23" s="30">
        <f t="shared" si="6"/>
        <v>96</v>
      </c>
    </row>
    <row r="24" spans="1:51" ht="29.45" customHeight="1" x14ac:dyDescent="0.2">
      <c r="A24" s="820" t="s">
        <v>678</v>
      </c>
      <c r="B24" s="586"/>
      <c r="C24" s="586"/>
      <c r="D24" s="578"/>
      <c r="E24" s="586"/>
      <c r="F24" s="578"/>
      <c r="G24" s="579"/>
      <c r="H24" s="579"/>
      <c r="I24" s="849"/>
      <c r="J24" s="849"/>
      <c r="K24" s="850"/>
      <c r="L24" s="851"/>
      <c r="M24" s="852"/>
      <c r="N24" s="852"/>
      <c r="O24" s="579"/>
      <c r="P24" s="579"/>
      <c r="Q24" s="579"/>
      <c r="R24" s="579"/>
      <c r="S24" s="579"/>
      <c r="T24" s="579"/>
      <c r="U24" s="323"/>
      <c r="V24" s="323"/>
      <c r="W24" s="323"/>
      <c r="X24" s="323"/>
      <c r="Y24" s="323"/>
      <c r="Z24" s="323"/>
      <c r="AA24" s="323"/>
      <c r="AB24" s="323"/>
      <c r="AC24" s="828"/>
      <c r="AD24" s="580"/>
      <c r="AE24" s="824">
        <v>13</v>
      </c>
      <c r="AF24" s="824">
        <v>86</v>
      </c>
      <c r="AG24" s="833"/>
      <c r="AH24" s="833">
        <v>2</v>
      </c>
      <c r="AI24" s="833"/>
      <c r="AJ24" s="833"/>
      <c r="AK24" s="833"/>
      <c r="AL24" s="833"/>
      <c r="AM24" s="845"/>
      <c r="AN24" s="845"/>
      <c r="AO24" s="845">
        <v>4</v>
      </c>
      <c r="AP24" s="845">
        <v>18</v>
      </c>
      <c r="AQ24" s="845"/>
      <c r="AR24" s="845"/>
      <c r="AS24" s="845"/>
      <c r="AT24" s="845"/>
      <c r="AU24" s="845"/>
      <c r="AV24" s="846"/>
      <c r="AW24" s="835"/>
      <c r="AX24" s="835">
        <v>2</v>
      </c>
      <c r="AY24" s="30">
        <f t="shared" si="6"/>
        <v>125</v>
      </c>
    </row>
    <row r="25" spans="1:51" ht="29.45" customHeight="1" x14ac:dyDescent="0.2">
      <c r="A25" s="820" t="s">
        <v>679</v>
      </c>
      <c r="B25" s="586"/>
      <c r="C25" s="586"/>
      <c r="D25" s="578"/>
      <c r="E25" s="586"/>
      <c r="F25" s="578"/>
      <c r="G25" s="579"/>
      <c r="H25" s="579"/>
      <c r="I25" s="849"/>
      <c r="J25" s="849"/>
      <c r="K25" s="850"/>
      <c r="L25" s="851"/>
      <c r="M25" s="852"/>
      <c r="N25" s="852"/>
      <c r="O25" s="579"/>
      <c r="P25" s="579"/>
      <c r="Q25" s="579"/>
      <c r="R25" s="579"/>
      <c r="S25" s="579"/>
      <c r="T25" s="579"/>
      <c r="U25" s="323"/>
      <c r="V25" s="323"/>
      <c r="W25" s="323"/>
      <c r="X25" s="323"/>
      <c r="Y25" s="323"/>
      <c r="Z25" s="323"/>
      <c r="AA25" s="323"/>
      <c r="AB25" s="323"/>
      <c r="AC25" s="828"/>
      <c r="AD25" s="580"/>
      <c r="AE25" s="824">
        <f>4+5</f>
        <v>9</v>
      </c>
      <c r="AF25" s="824">
        <f>50+28</f>
        <v>78</v>
      </c>
      <c r="AG25" s="833"/>
      <c r="AH25" s="833"/>
      <c r="AI25" s="833"/>
      <c r="AJ25" s="833"/>
      <c r="AK25" s="833"/>
      <c r="AL25" s="833"/>
      <c r="AM25" s="845"/>
      <c r="AN25" s="845"/>
      <c r="AO25" s="845"/>
      <c r="AP25" s="845">
        <v>2</v>
      </c>
      <c r="AQ25" s="845">
        <f>0+1</f>
        <v>1</v>
      </c>
      <c r="AR25" s="845"/>
      <c r="AS25" s="845"/>
      <c r="AT25" s="845">
        <v>1</v>
      </c>
      <c r="AU25" s="845"/>
      <c r="AV25" s="846"/>
      <c r="AW25" s="835"/>
      <c r="AX25" s="835">
        <f>3+1</f>
        <v>4</v>
      </c>
      <c r="AY25" s="30">
        <f t="shared" si="6"/>
        <v>95</v>
      </c>
    </row>
    <row r="26" spans="1:51" ht="29.45" customHeight="1" x14ac:dyDescent="0.2">
      <c r="A26" s="820" t="s">
        <v>680</v>
      </c>
      <c r="B26" s="586"/>
      <c r="C26" s="586"/>
      <c r="D26" s="578"/>
      <c r="E26" s="586"/>
      <c r="F26" s="578"/>
      <c r="G26" s="579"/>
      <c r="H26" s="579"/>
      <c r="I26" s="849"/>
      <c r="J26" s="849"/>
      <c r="K26" s="850"/>
      <c r="L26" s="851"/>
      <c r="M26" s="852"/>
      <c r="N26" s="852"/>
      <c r="O26" s="579"/>
      <c r="P26" s="579"/>
      <c r="Q26" s="579"/>
      <c r="R26" s="579"/>
      <c r="S26" s="579"/>
      <c r="T26" s="579"/>
      <c r="U26" s="323"/>
      <c r="V26" s="323"/>
      <c r="W26" s="323"/>
      <c r="X26" s="323"/>
      <c r="Y26" s="323"/>
      <c r="Z26" s="323"/>
      <c r="AA26" s="323"/>
      <c r="AB26" s="323"/>
      <c r="AC26" s="828"/>
      <c r="AD26" s="580"/>
      <c r="AE26" s="824">
        <v>12</v>
      </c>
      <c r="AF26" s="824">
        <v>112</v>
      </c>
      <c r="AG26" s="833"/>
      <c r="AH26" s="833"/>
      <c r="AI26" s="833"/>
      <c r="AJ26" s="833"/>
      <c r="AK26" s="833"/>
      <c r="AL26" s="833"/>
      <c r="AM26" s="845"/>
      <c r="AN26" s="845"/>
      <c r="AO26" s="845"/>
      <c r="AP26" s="845">
        <v>2</v>
      </c>
      <c r="AQ26" s="845"/>
      <c r="AR26" s="845"/>
      <c r="AS26" s="845">
        <v>1</v>
      </c>
      <c r="AT26" s="845">
        <v>4</v>
      </c>
      <c r="AU26" s="845"/>
      <c r="AV26" s="846"/>
      <c r="AW26" s="835"/>
      <c r="AX26" s="835">
        <v>1</v>
      </c>
      <c r="AY26" s="30">
        <f>SUM(AE26:AX26)</f>
        <v>132</v>
      </c>
    </row>
    <row r="27" spans="1:51" ht="29.45" customHeight="1" x14ac:dyDescent="0.2">
      <c r="A27" s="820" t="s">
        <v>681</v>
      </c>
      <c r="B27" s="586"/>
      <c r="C27" s="586"/>
      <c r="D27" s="578"/>
      <c r="E27" s="586"/>
      <c r="F27" s="578"/>
      <c r="G27" s="579"/>
      <c r="H27" s="579"/>
      <c r="I27" s="849"/>
      <c r="J27" s="849"/>
      <c r="K27" s="850"/>
      <c r="L27" s="851"/>
      <c r="M27" s="852"/>
      <c r="N27" s="852"/>
      <c r="O27" s="579"/>
      <c r="P27" s="579"/>
      <c r="Q27" s="579"/>
      <c r="R27" s="579"/>
      <c r="S27" s="579"/>
      <c r="T27" s="579"/>
      <c r="U27" s="323"/>
      <c r="V27" s="323"/>
      <c r="W27" s="323"/>
      <c r="X27" s="323"/>
      <c r="Y27" s="323"/>
      <c r="Z27" s="323"/>
      <c r="AA27" s="323"/>
      <c r="AB27" s="323"/>
      <c r="AC27" s="828"/>
      <c r="AD27" s="580"/>
      <c r="AE27" s="824">
        <v>13</v>
      </c>
      <c r="AF27" s="824">
        <v>68</v>
      </c>
      <c r="AG27" s="833"/>
      <c r="AH27" s="833">
        <v>2</v>
      </c>
      <c r="AI27" s="833"/>
      <c r="AJ27" s="833"/>
      <c r="AK27" s="833"/>
      <c r="AL27" s="833"/>
      <c r="AM27" s="845"/>
      <c r="AN27" s="845"/>
      <c r="AO27" s="845"/>
      <c r="AP27" s="845">
        <v>2</v>
      </c>
      <c r="AQ27" s="845"/>
      <c r="AR27" s="845"/>
      <c r="AS27" s="845"/>
      <c r="AT27" s="845">
        <v>9</v>
      </c>
      <c r="AU27" s="845"/>
      <c r="AV27" s="846"/>
      <c r="AW27" s="835"/>
      <c r="AX27" s="835">
        <v>3</v>
      </c>
      <c r="AY27" s="30">
        <f t="shared" ref="AY27:AY30" si="7">SUM(AE27:AX27)</f>
        <v>97</v>
      </c>
    </row>
    <row r="28" spans="1:51" ht="29.45" customHeight="1" x14ac:dyDescent="0.2">
      <c r="A28" s="820" t="s">
        <v>682</v>
      </c>
      <c r="B28" s="586"/>
      <c r="C28" s="586"/>
      <c r="D28" s="578"/>
      <c r="E28" s="586"/>
      <c r="F28" s="578"/>
      <c r="G28" s="579"/>
      <c r="H28" s="579"/>
      <c r="I28" s="849"/>
      <c r="J28" s="849"/>
      <c r="K28" s="850"/>
      <c r="L28" s="851"/>
      <c r="M28" s="852"/>
      <c r="N28" s="852"/>
      <c r="O28" s="579"/>
      <c r="P28" s="579"/>
      <c r="Q28" s="579"/>
      <c r="R28" s="579"/>
      <c r="S28" s="579"/>
      <c r="T28" s="579"/>
      <c r="U28" s="323"/>
      <c r="V28" s="323"/>
      <c r="W28" s="323"/>
      <c r="X28" s="323"/>
      <c r="Y28" s="323"/>
      <c r="Z28" s="323"/>
      <c r="AA28" s="323"/>
      <c r="AB28" s="323"/>
      <c r="AC28" s="828"/>
      <c r="AD28" s="580"/>
      <c r="AE28" s="824">
        <f>13</f>
        <v>13</v>
      </c>
      <c r="AF28" s="824">
        <v>69</v>
      </c>
      <c r="AG28" s="833"/>
      <c r="AH28" s="833"/>
      <c r="AI28" s="833"/>
      <c r="AJ28" s="833"/>
      <c r="AK28" s="833"/>
      <c r="AL28" s="833"/>
      <c r="AM28" s="845"/>
      <c r="AN28" s="845">
        <v>1</v>
      </c>
      <c r="AO28" s="845">
        <v>3</v>
      </c>
      <c r="AP28" s="845">
        <v>8</v>
      </c>
      <c r="AQ28" s="845"/>
      <c r="AR28" s="845"/>
      <c r="AS28" s="845">
        <v>1</v>
      </c>
      <c r="AT28" s="845">
        <v>2</v>
      </c>
      <c r="AU28" s="845"/>
      <c r="AV28" s="846"/>
      <c r="AW28" s="835">
        <v>1</v>
      </c>
      <c r="AX28" s="835">
        <v>5</v>
      </c>
      <c r="AY28" s="30">
        <f t="shared" si="7"/>
        <v>103</v>
      </c>
    </row>
    <row r="29" spans="1:51" ht="16.5" customHeight="1" x14ac:dyDescent="0.2">
      <c r="A29" s="820" t="s">
        <v>683</v>
      </c>
      <c r="B29" s="586"/>
      <c r="C29" s="586"/>
      <c r="D29" s="578"/>
      <c r="E29" s="586"/>
      <c r="F29" s="578"/>
      <c r="G29" s="579"/>
      <c r="H29" s="579"/>
      <c r="I29" s="849"/>
      <c r="J29" s="849"/>
      <c r="K29" s="850"/>
      <c r="L29" s="851"/>
      <c r="M29" s="852"/>
      <c r="N29" s="852"/>
      <c r="O29" s="579"/>
      <c r="P29" s="579"/>
      <c r="Q29" s="579"/>
      <c r="R29" s="579"/>
      <c r="S29" s="579"/>
      <c r="T29" s="579"/>
      <c r="U29" s="323"/>
      <c r="V29" s="323"/>
      <c r="W29" s="323"/>
      <c r="X29" s="323"/>
      <c r="Y29" s="323"/>
      <c r="Z29" s="323"/>
      <c r="AA29" s="323"/>
      <c r="AB29" s="323"/>
      <c r="AC29" s="828"/>
      <c r="AD29" s="580"/>
      <c r="AE29" s="824">
        <v>9</v>
      </c>
      <c r="AF29" s="824">
        <v>71</v>
      </c>
      <c r="AG29" s="833">
        <v>1</v>
      </c>
      <c r="AH29" s="833"/>
      <c r="AI29" s="833"/>
      <c r="AJ29" s="833"/>
      <c r="AK29" s="833"/>
      <c r="AL29" s="833"/>
      <c r="AM29" s="845"/>
      <c r="AN29" s="845"/>
      <c r="AO29" s="845">
        <v>1</v>
      </c>
      <c r="AP29" s="845">
        <v>5</v>
      </c>
      <c r="AQ29" s="845"/>
      <c r="AR29" s="845"/>
      <c r="AS29" s="845">
        <v>2</v>
      </c>
      <c r="AT29" s="845"/>
      <c r="AU29" s="845"/>
      <c r="AV29" s="846"/>
      <c r="AW29" s="835"/>
      <c r="AX29" s="835"/>
      <c r="AY29" s="30">
        <f t="shared" si="7"/>
        <v>89</v>
      </c>
    </row>
    <row r="30" spans="1:51" ht="29.45" customHeight="1" x14ac:dyDescent="0.2">
      <c r="A30" s="820" t="s">
        <v>684</v>
      </c>
      <c r="B30" s="586"/>
      <c r="C30" s="586"/>
      <c r="D30" s="578"/>
      <c r="E30" s="586"/>
      <c r="F30" s="578"/>
      <c r="G30" s="579"/>
      <c r="H30" s="579"/>
      <c r="I30" s="849"/>
      <c r="J30" s="849"/>
      <c r="K30" s="850"/>
      <c r="L30" s="851"/>
      <c r="M30" s="852"/>
      <c r="N30" s="852"/>
      <c r="O30" s="579"/>
      <c r="P30" s="579"/>
      <c r="Q30" s="579"/>
      <c r="R30" s="579"/>
      <c r="S30" s="579"/>
      <c r="T30" s="579"/>
      <c r="U30" s="323"/>
      <c r="V30" s="323"/>
      <c r="W30" s="323"/>
      <c r="X30" s="323"/>
      <c r="Y30" s="323"/>
      <c r="Z30" s="323"/>
      <c r="AA30" s="323"/>
      <c r="AB30" s="323"/>
      <c r="AC30" s="828"/>
      <c r="AD30" s="580"/>
      <c r="AE30" s="824"/>
      <c r="AF30" s="824">
        <v>120</v>
      </c>
      <c r="AG30" s="833"/>
      <c r="AH30" s="833"/>
      <c r="AI30" s="833"/>
      <c r="AJ30" s="833"/>
      <c r="AK30" s="833"/>
      <c r="AL30" s="833"/>
      <c r="AM30" s="845"/>
      <c r="AN30" s="845"/>
      <c r="AO30" s="845"/>
      <c r="AP30" s="845">
        <v>3</v>
      </c>
      <c r="AQ30" s="845"/>
      <c r="AR30" s="845"/>
      <c r="AS30" s="845">
        <v>9</v>
      </c>
      <c r="AT30" s="845"/>
      <c r="AU30" s="845"/>
      <c r="AV30" s="846"/>
      <c r="AW30" s="835"/>
      <c r="AX30" s="835">
        <v>1</v>
      </c>
      <c r="AY30" s="30">
        <f t="shared" si="7"/>
        <v>133</v>
      </c>
    </row>
    <row r="31" spans="1:51" x14ac:dyDescent="0.2">
      <c r="A31" s="74" t="s">
        <v>1</v>
      </c>
      <c r="B31" s="457">
        <f t="shared" ref="B31:V31" si="8">SUM(B6:B14)</f>
        <v>768</v>
      </c>
      <c r="C31" s="457">
        <f t="shared" si="8"/>
        <v>2847</v>
      </c>
      <c r="D31" s="457">
        <f t="shared" si="8"/>
        <v>2</v>
      </c>
      <c r="E31" s="457">
        <f t="shared" si="8"/>
        <v>181</v>
      </c>
      <c r="F31" s="457">
        <f t="shared" si="8"/>
        <v>104</v>
      </c>
      <c r="G31" s="838">
        <f t="shared" si="8"/>
        <v>281</v>
      </c>
      <c r="H31" s="838">
        <f t="shared" si="8"/>
        <v>1</v>
      </c>
      <c r="I31" s="457">
        <f>SUM(I6:I15)</f>
        <v>766</v>
      </c>
      <c r="J31" s="457">
        <f>SUM(J6:J15)</f>
        <v>2830</v>
      </c>
      <c r="K31" s="457">
        <f t="shared" si="8"/>
        <v>1</v>
      </c>
      <c r="L31" s="457">
        <f t="shared" si="8"/>
        <v>24</v>
      </c>
      <c r="M31" s="457">
        <f t="shared" si="8"/>
        <v>2</v>
      </c>
      <c r="N31" s="457">
        <f t="shared" si="8"/>
        <v>11</v>
      </c>
      <c r="O31" s="457">
        <f t="shared" si="8"/>
        <v>0</v>
      </c>
      <c r="P31" s="457"/>
      <c r="Q31" s="457"/>
      <c r="R31" s="457"/>
      <c r="S31" s="457"/>
      <c r="T31" s="457"/>
      <c r="U31" s="457">
        <f t="shared" si="8"/>
        <v>186</v>
      </c>
      <c r="V31" s="457">
        <f t="shared" si="8"/>
        <v>1</v>
      </c>
      <c r="W31" s="457">
        <f>SUM(W6:W15)</f>
        <v>499</v>
      </c>
      <c r="X31" s="457">
        <f t="shared" ref="X31:AD31" si="9">SUM(X6:X14)</f>
        <v>1850</v>
      </c>
      <c r="Y31" s="457">
        <f t="shared" si="9"/>
        <v>1</v>
      </c>
      <c r="Z31" s="457">
        <f t="shared" si="9"/>
        <v>24</v>
      </c>
      <c r="AA31" s="457">
        <f t="shared" si="9"/>
        <v>11</v>
      </c>
      <c r="AB31" s="457">
        <f t="shared" si="9"/>
        <v>0</v>
      </c>
      <c r="AC31" s="101">
        <f t="shared" si="9"/>
        <v>3902</v>
      </c>
      <c r="AD31" s="101">
        <f t="shared" si="9"/>
        <v>0</v>
      </c>
      <c r="AE31" s="38"/>
      <c r="AF31" s="38"/>
      <c r="AG31" s="832"/>
      <c r="AH31" s="832"/>
      <c r="AI31" s="832"/>
      <c r="AJ31" s="832"/>
      <c r="AK31" s="832"/>
      <c r="AL31" s="832"/>
      <c r="AM31" s="844"/>
      <c r="AN31" s="844"/>
      <c r="AO31" s="844"/>
      <c r="AP31" s="844"/>
      <c r="AQ31" s="844"/>
      <c r="AR31" s="844"/>
      <c r="AS31" s="844"/>
      <c r="AT31" s="844"/>
      <c r="AU31" s="844"/>
      <c r="AV31" s="844"/>
      <c r="AW31" s="832"/>
      <c r="AX31" s="832"/>
      <c r="AY31" s="30">
        <f>SUM(AY15:AY30)</f>
        <v>1999</v>
      </c>
    </row>
    <row r="32" spans="1:51" x14ac:dyDescent="0.2">
      <c r="B32" s="404"/>
      <c r="C32" s="404"/>
      <c r="D32" s="404"/>
      <c r="E32" s="404"/>
      <c r="F32" s="404"/>
      <c r="U32" s="404"/>
      <c r="V32" s="404"/>
      <c r="W32" s="404">
        <f t="shared" ref="W32:AB32" si="10">W31-W12-W11-W14</f>
        <v>429</v>
      </c>
      <c r="X32" s="404">
        <f t="shared" si="10"/>
        <v>1543</v>
      </c>
      <c r="Y32" s="404">
        <f t="shared" si="10"/>
        <v>1</v>
      </c>
      <c r="Z32" s="404">
        <f t="shared" si="10"/>
        <v>19</v>
      </c>
      <c r="AA32" s="404">
        <f t="shared" si="10"/>
        <v>10</v>
      </c>
      <c r="AB32" s="404">
        <f t="shared" si="10"/>
        <v>0</v>
      </c>
    </row>
    <row r="34" spans="2:30" x14ac:dyDescent="0.2">
      <c r="B34" s="404"/>
      <c r="C34" s="404"/>
      <c r="D34" s="404"/>
      <c r="E34" s="404"/>
      <c r="F34" s="404"/>
      <c r="G34" s="839"/>
      <c r="H34" s="839"/>
      <c r="I34" s="404"/>
      <c r="J34" s="404"/>
      <c r="K34" s="404"/>
      <c r="L34" s="404"/>
      <c r="M34" s="404"/>
      <c r="N34" s="404"/>
      <c r="O34" s="404"/>
      <c r="P34" s="404"/>
      <c r="Q34" s="404"/>
      <c r="R34" s="404"/>
      <c r="S34" s="404"/>
      <c r="T34" s="404"/>
      <c r="U34" s="404"/>
      <c r="V34" s="404"/>
      <c r="W34" s="404"/>
      <c r="X34" s="404"/>
      <c r="Y34" s="404"/>
      <c r="Z34" s="404"/>
      <c r="AA34" s="404"/>
      <c r="AB34" s="404"/>
      <c r="AC34" s="404"/>
      <c r="AD34" s="404"/>
    </row>
  </sheetData>
  <sheetProtection selectLockedCells="1" selectUnlockedCells="1"/>
  <mergeCells count="7">
    <mergeCell ref="AE3:AX3"/>
    <mergeCell ref="AC4:AC5"/>
    <mergeCell ref="A2:A5"/>
    <mergeCell ref="B2:AB2"/>
    <mergeCell ref="B3:F3"/>
    <mergeCell ref="G3:O3"/>
    <mergeCell ref="AD3:AD5"/>
  </mergeCells>
  <pageMargins left="0.23622047244094491" right="0.23622047244094491" top="0.74803149606299213" bottom="0.74803149606299213" header="0.31496062992125984" footer="0.31496062992125984"/>
  <pageSetup paperSize="9" scale="35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tabColor rgb="FF92D050"/>
    <pageSetUpPr fitToPage="1"/>
  </sheetPr>
  <dimension ref="A1:BE33"/>
  <sheetViews>
    <sheetView zoomScale="87" zoomScaleNormal="87" zoomScaleSheetLayoutView="82" workbookViewId="0">
      <pane xSplit="1" ySplit="5" topLeftCell="AB9" activePane="bottomRight" state="frozen"/>
      <selection pane="topRight" activeCell="C1" sqref="C1"/>
      <selection pane="bottomLeft" activeCell="A6" sqref="A6"/>
      <selection pane="bottomRight" activeCell="AF30" sqref="AF30:AQ30"/>
    </sheetView>
  </sheetViews>
  <sheetFormatPr defaultRowHeight="12.75" x14ac:dyDescent="0.2"/>
  <cols>
    <col min="1" max="1" width="50.85546875" style="30" customWidth="1"/>
    <col min="2" max="8" width="14.7109375" style="30" customWidth="1"/>
    <col min="9" max="9" width="15.42578125" style="30" customWidth="1"/>
    <col min="10" max="11" width="18.7109375" style="30" customWidth="1"/>
    <col min="12" max="14" width="14.7109375" style="30" customWidth="1"/>
    <col min="15" max="31" width="15.28515625" style="30" customWidth="1"/>
    <col min="32" max="35" width="16.140625" style="30" customWidth="1"/>
    <col min="36" max="36" width="16.140625" style="940" customWidth="1"/>
    <col min="37" max="53" width="16.140625" style="30" customWidth="1"/>
    <col min="54" max="54" width="9.140625" style="30" customWidth="1"/>
    <col min="55" max="55" width="10.140625" style="30" customWidth="1"/>
    <col min="56" max="56" width="10.5703125" style="30" customWidth="1"/>
    <col min="57" max="229" width="9.140625" style="30"/>
    <col min="230" max="230" width="19.28515625" style="30" customWidth="1"/>
    <col min="231" max="231" width="10.28515625" style="30" customWidth="1"/>
    <col min="232" max="233" width="10" style="30" customWidth="1"/>
    <col min="234" max="234" width="10.5703125" style="30" customWidth="1"/>
    <col min="235" max="235" width="12.28515625" style="30" customWidth="1"/>
    <col min="236" max="236" width="13.28515625" style="30" customWidth="1"/>
    <col min="237" max="237" width="15.42578125" style="30" customWidth="1"/>
    <col min="238" max="238" width="15" style="30" customWidth="1"/>
    <col min="239" max="239" width="14.5703125" style="30" customWidth="1"/>
    <col min="240" max="240" width="14.140625" style="30" customWidth="1"/>
    <col min="241" max="485" width="9.140625" style="30"/>
    <col min="486" max="486" width="19.28515625" style="30" customWidth="1"/>
    <col min="487" max="487" width="10.28515625" style="30" customWidth="1"/>
    <col min="488" max="489" width="10" style="30" customWidth="1"/>
    <col min="490" max="490" width="10.5703125" style="30" customWidth="1"/>
    <col min="491" max="491" width="12.28515625" style="30" customWidth="1"/>
    <col min="492" max="492" width="13.28515625" style="30" customWidth="1"/>
    <col min="493" max="493" width="15.42578125" style="30" customWidth="1"/>
    <col min="494" max="494" width="15" style="30" customWidth="1"/>
    <col min="495" max="495" width="14.5703125" style="30" customWidth="1"/>
    <col min="496" max="496" width="14.140625" style="30" customWidth="1"/>
    <col min="497" max="741" width="9.140625" style="30"/>
    <col min="742" max="742" width="19.28515625" style="30" customWidth="1"/>
    <col min="743" max="743" width="10.28515625" style="30" customWidth="1"/>
    <col min="744" max="745" width="10" style="30" customWidth="1"/>
    <col min="746" max="746" width="10.5703125" style="30" customWidth="1"/>
    <col min="747" max="747" width="12.28515625" style="30" customWidth="1"/>
    <col min="748" max="748" width="13.28515625" style="30" customWidth="1"/>
    <col min="749" max="749" width="15.42578125" style="30" customWidth="1"/>
    <col min="750" max="750" width="15" style="30" customWidth="1"/>
    <col min="751" max="751" width="14.5703125" style="30" customWidth="1"/>
    <col min="752" max="752" width="14.140625" style="30" customWidth="1"/>
    <col min="753" max="997" width="9.140625" style="30"/>
    <col min="998" max="998" width="19.28515625" style="30" customWidth="1"/>
    <col min="999" max="999" width="10.28515625" style="30" customWidth="1"/>
    <col min="1000" max="1001" width="10" style="30" customWidth="1"/>
    <col min="1002" max="1002" width="10.5703125" style="30" customWidth="1"/>
    <col min="1003" max="1003" width="12.28515625" style="30" customWidth="1"/>
    <col min="1004" max="1004" width="13.28515625" style="30" customWidth="1"/>
    <col min="1005" max="1005" width="15.42578125" style="30" customWidth="1"/>
    <col min="1006" max="1006" width="15" style="30" customWidth="1"/>
    <col min="1007" max="1007" width="14.5703125" style="30" customWidth="1"/>
    <col min="1008" max="1008" width="14.140625" style="30" customWidth="1"/>
    <col min="1009" max="1253" width="9.140625" style="30"/>
    <col min="1254" max="1254" width="19.28515625" style="30" customWidth="1"/>
    <col min="1255" max="1255" width="10.28515625" style="30" customWidth="1"/>
    <col min="1256" max="1257" width="10" style="30" customWidth="1"/>
    <col min="1258" max="1258" width="10.5703125" style="30" customWidth="1"/>
    <col min="1259" max="1259" width="12.28515625" style="30" customWidth="1"/>
    <col min="1260" max="1260" width="13.28515625" style="30" customWidth="1"/>
    <col min="1261" max="1261" width="15.42578125" style="30" customWidth="1"/>
    <col min="1262" max="1262" width="15" style="30" customWidth="1"/>
    <col min="1263" max="1263" width="14.5703125" style="30" customWidth="1"/>
    <col min="1264" max="1264" width="14.140625" style="30" customWidth="1"/>
    <col min="1265" max="1509" width="9.140625" style="30"/>
    <col min="1510" max="1510" width="19.28515625" style="30" customWidth="1"/>
    <col min="1511" max="1511" width="10.28515625" style="30" customWidth="1"/>
    <col min="1512" max="1513" width="10" style="30" customWidth="1"/>
    <col min="1514" max="1514" width="10.5703125" style="30" customWidth="1"/>
    <col min="1515" max="1515" width="12.28515625" style="30" customWidth="1"/>
    <col min="1516" max="1516" width="13.28515625" style="30" customWidth="1"/>
    <col min="1517" max="1517" width="15.42578125" style="30" customWidth="1"/>
    <col min="1518" max="1518" width="15" style="30" customWidth="1"/>
    <col min="1519" max="1519" width="14.5703125" style="30" customWidth="1"/>
    <col min="1520" max="1520" width="14.140625" style="30" customWidth="1"/>
    <col min="1521" max="1765" width="9.140625" style="30"/>
    <col min="1766" max="1766" width="19.28515625" style="30" customWidth="1"/>
    <col min="1767" max="1767" width="10.28515625" style="30" customWidth="1"/>
    <col min="1768" max="1769" width="10" style="30" customWidth="1"/>
    <col min="1770" max="1770" width="10.5703125" style="30" customWidth="1"/>
    <col min="1771" max="1771" width="12.28515625" style="30" customWidth="1"/>
    <col min="1772" max="1772" width="13.28515625" style="30" customWidth="1"/>
    <col min="1773" max="1773" width="15.42578125" style="30" customWidth="1"/>
    <col min="1774" max="1774" width="15" style="30" customWidth="1"/>
    <col min="1775" max="1775" width="14.5703125" style="30" customWidth="1"/>
    <col min="1776" max="1776" width="14.140625" style="30" customWidth="1"/>
    <col min="1777" max="2021" width="9.140625" style="30"/>
    <col min="2022" max="2022" width="19.28515625" style="30" customWidth="1"/>
    <col min="2023" max="2023" width="10.28515625" style="30" customWidth="1"/>
    <col min="2024" max="2025" width="10" style="30" customWidth="1"/>
    <col min="2026" max="2026" width="10.5703125" style="30" customWidth="1"/>
    <col min="2027" max="2027" width="12.28515625" style="30" customWidth="1"/>
    <col min="2028" max="2028" width="13.28515625" style="30" customWidth="1"/>
    <col min="2029" max="2029" width="15.42578125" style="30" customWidth="1"/>
    <col min="2030" max="2030" width="15" style="30" customWidth="1"/>
    <col min="2031" max="2031" width="14.5703125" style="30" customWidth="1"/>
    <col min="2032" max="2032" width="14.140625" style="30" customWidth="1"/>
    <col min="2033" max="2277" width="9.140625" style="30"/>
    <col min="2278" max="2278" width="19.28515625" style="30" customWidth="1"/>
    <col min="2279" max="2279" width="10.28515625" style="30" customWidth="1"/>
    <col min="2280" max="2281" width="10" style="30" customWidth="1"/>
    <col min="2282" max="2282" width="10.5703125" style="30" customWidth="1"/>
    <col min="2283" max="2283" width="12.28515625" style="30" customWidth="1"/>
    <col min="2284" max="2284" width="13.28515625" style="30" customWidth="1"/>
    <col min="2285" max="2285" width="15.42578125" style="30" customWidth="1"/>
    <col min="2286" max="2286" width="15" style="30" customWidth="1"/>
    <col min="2287" max="2287" width="14.5703125" style="30" customWidth="1"/>
    <col min="2288" max="2288" width="14.140625" style="30" customWidth="1"/>
    <col min="2289" max="2533" width="9.140625" style="30"/>
    <col min="2534" max="2534" width="19.28515625" style="30" customWidth="1"/>
    <col min="2535" max="2535" width="10.28515625" style="30" customWidth="1"/>
    <col min="2536" max="2537" width="10" style="30" customWidth="1"/>
    <col min="2538" max="2538" width="10.5703125" style="30" customWidth="1"/>
    <col min="2539" max="2539" width="12.28515625" style="30" customWidth="1"/>
    <col min="2540" max="2540" width="13.28515625" style="30" customWidth="1"/>
    <col min="2541" max="2541" width="15.42578125" style="30" customWidth="1"/>
    <col min="2542" max="2542" width="15" style="30" customWidth="1"/>
    <col min="2543" max="2543" width="14.5703125" style="30" customWidth="1"/>
    <col min="2544" max="2544" width="14.140625" style="30" customWidth="1"/>
    <col min="2545" max="2789" width="9.140625" style="30"/>
    <col min="2790" max="2790" width="19.28515625" style="30" customWidth="1"/>
    <col min="2791" max="2791" width="10.28515625" style="30" customWidth="1"/>
    <col min="2792" max="2793" width="10" style="30" customWidth="1"/>
    <col min="2794" max="2794" width="10.5703125" style="30" customWidth="1"/>
    <col min="2795" max="2795" width="12.28515625" style="30" customWidth="1"/>
    <col min="2796" max="2796" width="13.28515625" style="30" customWidth="1"/>
    <col min="2797" max="2797" width="15.42578125" style="30" customWidth="1"/>
    <col min="2798" max="2798" width="15" style="30" customWidth="1"/>
    <col min="2799" max="2799" width="14.5703125" style="30" customWidth="1"/>
    <col min="2800" max="2800" width="14.140625" style="30" customWidth="1"/>
    <col min="2801" max="3045" width="9.140625" style="30"/>
    <col min="3046" max="3046" width="19.28515625" style="30" customWidth="1"/>
    <col min="3047" max="3047" width="10.28515625" style="30" customWidth="1"/>
    <col min="3048" max="3049" width="10" style="30" customWidth="1"/>
    <col min="3050" max="3050" width="10.5703125" style="30" customWidth="1"/>
    <col min="3051" max="3051" width="12.28515625" style="30" customWidth="1"/>
    <col min="3052" max="3052" width="13.28515625" style="30" customWidth="1"/>
    <col min="3053" max="3053" width="15.42578125" style="30" customWidth="1"/>
    <col min="3054" max="3054" width="15" style="30" customWidth="1"/>
    <col min="3055" max="3055" width="14.5703125" style="30" customWidth="1"/>
    <col min="3056" max="3056" width="14.140625" style="30" customWidth="1"/>
    <col min="3057" max="3301" width="9.140625" style="30"/>
    <col min="3302" max="3302" width="19.28515625" style="30" customWidth="1"/>
    <col min="3303" max="3303" width="10.28515625" style="30" customWidth="1"/>
    <col min="3304" max="3305" width="10" style="30" customWidth="1"/>
    <col min="3306" max="3306" width="10.5703125" style="30" customWidth="1"/>
    <col min="3307" max="3307" width="12.28515625" style="30" customWidth="1"/>
    <col min="3308" max="3308" width="13.28515625" style="30" customWidth="1"/>
    <col min="3309" max="3309" width="15.42578125" style="30" customWidth="1"/>
    <col min="3310" max="3310" width="15" style="30" customWidth="1"/>
    <col min="3311" max="3311" width="14.5703125" style="30" customWidth="1"/>
    <col min="3312" max="3312" width="14.140625" style="30" customWidth="1"/>
    <col min="3313" max="3557" width="9.140625" style="30"/>
    <col min="3558" max="3558" width="19.28515625" style="30" customWidth="1"/>
    <col min="3559" max="3559" width="10.28515625" style="30" customWidth="1"/>
    <col min="3560" max="3561" width="10" style="30" customWidth="1"/>
    <col min="3562" max="3562" width="10.5703125" style="30" customWidth="1"/>
    <col min="3563" max="3563" width="12.28515625" style="30" customWidth="1"/>
    <col min="3564" max="3564" width="13.28515625" style="30" customWidth="1"/>
    <col min="3565" max="3565" width="15.42578125" style="30" customWidth="1"/>
    <col min="3566" max="3566" width="15" style="30" customWidth="1"/>
    <col min="3567" max="3567" width="14.5703125" style="30" customWidth="1"/>
    <col min="3568" max="3568" width="14.140625" style="30" customWidth="1"/>
    <col min="3569" max="3813" width="9.140625" style="30"/>
    <col min="3814" max="3814" width="19.28515625" style="30" customWidth="1"/>
    <col min="3815" max="3815" width="10.28515625" style="30" customWidth="1"/>
    <col min="3816" max="3817" width="10" style="30" customWidth="1"/>
    <col min="3818" max="3818" width="10.5703125" style="30" customWidth="1"/>
    <col min="3819" max="3819" width="12.28515625" style="30" customWidth="1"/>
    <col min="3820" max="3820" width="13.28515625" style="30" customWidth="1"/>
    <col min="3821" max="3821" width="15.42578125" style="30" customWidth="1"/>
    <col min="3822" max="3822" width="15" style="30" customWidth="1"/>
    <col min="3823" max="3823" width="14.5703125" style="30" customWidth="1"/>
    <col min="3824" max="3824" width="14.140625" style="30" customWidth="1"/>
    <col min="3825" max="4069" width="9.140625" style="30"/>
    <col min="4070" max="4070" width="19.28515625" style="30" customWidth="1"/>
    <col min="4071" max="4071" width="10.28515625" style="30" customWidth="1"/>
    <col min="4072" max="4073" width="10" style="30" customWidth="1"/>
    <col min="4074" max="4074" width="10.5703125" style="30" customWidth="1"/>
    <col min="4075" max="4075" width="12.28515625" style="30" customWidth="1"/>
    <col min="4076" max="4076" width="13.28515625" style="30" customWidth="1"/>
    <col min="4077" max="4077" width="15.42578125" style="30" customWidth="1"/>
    <col min="4078" max="4078" width="15" style="30" customWidth="1"/>
    <col min="4079" max="4079" width="14.5703125" style="30" customWidth="1"/>
    <col min="4080" max="4080" width="14.140625" style="30" customWidth="1"/>
    <col min="4081" max="4325" width="9.140625" style="30"/>
    <col min="4326" max="4326" width="19.28515625" style="30" customWidth="1"/>
    <col min="4327" max="4327" width="10.28515625" style="30" customWidth="1"/>
    <col min="4328" max="4329" width="10" style="30" customWidth="1"/>
    <col min="4330" max="4330" width="10.5703125" style="30" customWidth="1"/>
    <col min="4331" max="4331" width="12.28515625" style="30" customWidth="1"/>
    <col min="4332" max="4332" width="13.28515625" style="30" customWidth="1"/>
    <col min="4333" max="4333" width="15.42578125" style="30" customWidth="1"/>
    <col min="4334" max="4334" width="15" style="30" customWidth="1"/>
    <col min="4335" max="4335" width="14.5703125" style="30" customWidth="1"/>
    <col min="4336" max="4336" width="14.140625" style="30" customWidth="1"/>
    <col min="4337" max="4581" width="9.140625" style="30"/>
    <col min="4582" max="4582" width="19.28515625" style="30" customWidth="1"/>
    <col min="4583" max="4583" width="10.28515625" style="30" customWidth="1"/>
    <col min="4584" max="4585" width="10" style="30" customWidth="1"/>
    <col min="4586" max="4586" width="10.5703125" style="30" customWidth="1"/>
    <col min="4587" max="4587" width="12.28515625" style="30" customWidth="1"/>
    <col min="4588" max="4588" width="13.28515625" style="30" customWidth="1"/>
    <col min="4589" max="4589" width="15.42578125" style="30" customWidth="1"/>
    <col min="4590" max="4590" width="15" style="30" customWidth="1"/>
    <col min="4591" max="4591" width="14.5703125" style="30" customWidth="1"/>
    <col min="4592" max="4592" width="14.140625" style="30" customWidth="1"/>
    <col min="4593" max="4837" width="9.140625" style="30"/>
    <col min="4838" max="4838" width="19.28515625" style="30" customWidth="1"/>
    <col min="4839" max="4839" width="10.28515625" style="30" customWidth="1"/>
    <col min="4840" max="4841" width="10" style="30" customWidth="1"/>
    <col min="4842" max="4842" width="10.5703125" style="30" customWidth="1"/>
    <col min="4843" max="4843" width="12.28515625" style="30" customWidth="1"/>
    <col min="4844" max="4844" width="13.28515625" style="30" customWidth="1"/>
    <col min="4845" max="4845" width="15.42578125" style="30" customWidth="1"/>
    <col min="4846" max="4846" width="15" style="30" customWidth="1"/>
    <col min="4847" max="4847" width="14.5703125" style="30" customWidth="1"/>
    <col min="4848" max="4848" width="14.140625" style="30" customWidth="1"/>
    <col min="4849" max="5093" width="9.140625" style="30"/>
    <col min="5094" max="5094" width="19.28515625" style="30" customWidth="1"/>
    <col min="5095" max="5095" width="10.28515625" style="30" customWidth="1"/>
    <col min="5096" max="5097" width="10" style="30" customWidth="1"/>
    <col min="5098" max="5098" width="10.5703125" style="30" customWidth="1"/>
    <col min="5099" max="5099" width="12.28515625" style="30" customWidth="1"/>
    <col min="5100" max="5100" width="13.28515625" style="30" customWidth="1"/>
    <col min="5101" max="5101" width="15.42578125" style="30" customWidth="1"/>
    <col min="5102" max="5102" width="15" style="30" customWidth="1"/>
    <col min="5103" max="5103" width="14.5703125" style="30" customWidth="1"/>
    <col min="5104" max="5104" width="14.140625" style="30" customWidth="1"/>
    <col min="5105" max="5349" width="9.140625" style="30"/>
    <col min="5350" max="5350" width="19.28515625" style="30" customWidth="1"/>
    <col min="5351" max="5351" width="10.28515625" style="30" customWidth="1"/>
    <col min="5352" max="5353" width="10" style="30" customWidth="1"/>
    <col min="5354" max="5354" width="10.5703125" style="30" customWidth="1"/>
    <col min="5355" max="5355" width="12.28515625" style="30" customWidth="1"/>
    <col min="5356" max="5356" width="13.28515625" style="30" customWidth="1"/>
    <col min="5357" max="5357" width="15.42578125" style="30" customWidth="1"/>
    <col min="5358" max="5358" width="15" style="30" customWidth="1"/>
    <col min="5359" max="5359" width="14.5703125" style="30" customWidth="1"/>
    <col min="5360" max="5360" width="14.140625" style="30" customWidth="1"/>
    <col min="5361" max="5605" width="9.140625" style="30"/>
    <col min="5606" max="5606" width="19.28515625" style="30" customWidth="1"/>
    <col min="5607" max="5607" width="10.28515625" style="30" customWidth="1"/>
    <col min="5608" max="5609" width="10" style="30" customWidth="1"/>
    <col min="5610" max="5610" width="10.5703125" style="30" customWidth="1"/>
    <col min="5611" max="5611" width="12.28515625" style="30" customWidth="1"/>
    <col min="5612" max="5612" width="13.28515625" style="30" customWidth="1"/>
    <col min="5613" max="5613" width="15.42578125" style="30" customWidth="1"/>
    <col min="5614" max="5614" width="15" style="30" customWidth="1"/>
    <col min="5615" max="5615" width="14.5703125" style="30" customWidth="1"/>
    <col min="5616" max="5616" width="14.140625" style="30" customWidth="1"/>
    <col min="5617" max="5861" width="9.140625" style="30"/>
    <col min="5862" max="5862" width="19.28515625" style="30" customWidth="1"/>
    <col min="5863" max="5863" width="10.28515625" style="30" customWidth="1"/>
    <col min="5864" max="5865" width="10" style="30" customWidth="1"/>
    <col min="5866" max="5866" width="10.5703125" style="30" customWidth="1"/>
    <col min="5867" max="5867" width="12.28515625" style="30" customWidth="1"/>
    <col min="5868" max="5868" width="13.28515625" style="30" customWidth="1"/>
    <col min="5869" max="5869" width="15.42578125" style="30" customWidth="1"/>
    <col min="5870" max="5870" width="15" style="30" customWidth="1"/>
    <col min="5871" max="5871" width="14.5703125" style="30" customWidth="1"/>
    <col min="5872" max="5872" width="14.140625" style="30" customWidth="1"/>
    <col min="5873" max="6117" width="9.140625" style="30"/>
    <col min="6118" max="6118" width="19.28515625" style="30" customWidth="1"/>
    <col min="6119" max="6119" width="10.28515625" style="30" customWidth="1"/>
    <col min="6120" max="6121" width="10" style="30" customWidth="1"/>
    <col min="6122" max="6122" width="10.5703125" style="30" customWidth="1"/>
    <col min="6123" max="6123" width="12.28515625" style="30" customWidth="1"/>
    <col min="6124" max="6124" width="13.28515625" style="30" customWidth="1"/>
    <col min="6125" max="6125" width="15.42578125" style="30" customWidth="1"/>
    <col min="6126" max="6126" width="15" style="30" customWidth="1"/>
    <col min="6127" max="6127" width="14.5703125" style="30" customWidth="1"/>
    <col min="6128" max="6128" width="14.140625" style="30" customWidth="1"/>
    <col min="6129" max="6373" width="9.140625" style="30"/>
    <col min="6374" max="6374" width="19.28515625" style="30" customWidth="1"/>
    <col min="6375" max="6375" width="10.28515625" style="30" customWidth="1"/>
    <col min="6376" max="6377" width="10" style="30" customWidth="1"/>
    <col min="6378" max="6378" width="10.5703125" style="30" customWidth="1"/>
    <col min="6379" max="6379" width="12.28515625" style="30" customWidth="1"/>
    <col min="6380" max="6380" width="13.28515625" style="30" customWidth="1"/>
    <col min="6381" max="6381" width="15.42578125" style="30" customWidth="1"/>
    <col min="6382" max="6382" width="15" style="30" customWidth="1"/>
    <col min="6383" max="6383" width="14.5703125" style="30" customWidth="1"/>
    <col min="6384" max="6384" width="14.140625" style="30" customWidth="1"/>
    <col min="6385" max="6629" width="9.140625" style="30"/>
    <col min="6630" max="6630" width="19.28515625" style="30" customWidth="1"/>
    <col min="6631" max="6631" width="10.28515625" style="30" customWidth="1"/>
    <col min="6632" max="6633" width="10" style="30" customWidth="1"/>
    <col min="6634" max="6634" width="10.5703125" style="30" customWidth="1"/>
    <col min="6635" max="6635" width="12.28515625" style="30" customWidth="1"/>
    <col min="6636" max="6636" width="13.28515625" style="30" customWidth="1"/>
    <col min="6637" max="6637" width="15.42578125" style="30" customWidth="1"/>
    <col min="6638" max="6638" width="15" style="30" customWidth="1"/>
    <col min="6639" max="6639" width="14.5703125" style="30" customWidth="1"/>
    <col min="6640" max="6640" width="14.140625" style="30" customWidth="1"/>
    <col min="6641" max="6885" width="9.140625" style="30"/>
    <col min="6886" max="6886" width="19.28515625" style="30" customWidth="1"/>
    <col min="6887" max="6887" width="10.28515625" style="30" customWidth="1"/>
    <col min="6888" max="6889" width="10" style="30" customWidth="1"/>
    <col min="6890" max="6890" width="10.5703125" style="30" customWidth="1"/>
    <col min="6891" max="6891" width="12.28515625" style="30" customWidth="1"/>
    <col min="6892" max="6892" width="13.28515625" style="30" customWidth="1"/>
    <col min="6893" max="6893" width="15.42578125" style="30" customWidth="1"/>
    <col min="6894" max="6894" width="15" style="30" customWidth="1"/>
    <col min="6895" max="6895" width="14.5703125" style="30" customWidth="1"/>
    <col min="6896" max="6896" width="14.140625" style="30" customWidth="1"/>
    <col min="6897" max="7141" width="9.140625" style="30"/>
    <col min="7142" max="7142" width="19.28515625" style="30" customWidth="1"/>
    <col min="7143" max="7143" width="10.28515625" style="30" customWidth="1"/>
    <col min="7144" max="7145" width="10" style="30" customWidth="1"/>
    <col min="7146" max="7146" width="10.5703125" style="30" customWidth="1"/>
    <col min="7147" max="7147" width="12.28515625" style="30" customWidth="1"/>
    <col min="7148" max="7148" width="13.28515625" style="30" customWidth="1"/>
    <col min="7149" max="7149" width="15.42578125" style="30" customWidth="1"/>
    <col min="7150" max="7150" width="15" style="30" customWidth="1"/>
    <col min="7151" max="7151" width="14.5703125" style="30" customWidth="1"/>
    <col min="7152" max="7152" width="14.140625" style="30" customWidth="1"/>
    <col min="7153" max="7397" width="9.140625" style="30"/>
    <col min="7398" max="7398" width="19.28515625" style="30" customWidth="1"/>
    <col min="7399" max="7399" width="10.28515625" style="30" customWidth="1"/>
    <col min="7400" max="7401" width="10" style="30" customWidth="1"/>
    <col min="7402" max="7402" width="10.5703125" style="30" customWidth="1"/>
    <col min="7403" max="7403" width="12.28515625" style="30" customWidth="1"/>
    <col min="7404" max="7404" width="13.28515625" style="30" customWidth="1"/>
    <col min="7405" max="7405" width="15.42578125" style="30" customWidth="1"/>
    <col min="7406" max="7406" width="15" style="30" customWidth="1"/>
    <col min="7407" max="7407" width="14.5703125" style="30" customWidth="1"/>
    <col min="7408" max="7408" width="14.140625" style="30" customWidth="1"/>
    <col min="7409" max="7653" width="9.140625" style="30"/>
    <col min="7654" max="7654" width="19.28515625" style="30" customWidth="1"/>
    <col min="7655" max="7655" width="10.28515625" style="30" customWidth="1"/>
    <col min="7656" max="7657" width="10" style="30" customWidth="1"/>
    <col min="7658" max="7658" width="10.5703125" style="30" customWidth="1"/>
    <col min="7659" max="7659" width="12.28515625" style="30" customWidth="1"/>
    <col min="7660" max="7660" width="13.28515625" style="30" customWidth="1"/>
    <col min="7661" max="7661" width="15.42578125" style="30" customWidth="1"/>
    <col min="7662" max="7662" width="15" style="30" customWidth="1"/>
    <col min="7663" max="7663" width="14.5703125" style="30" customWidth="1"/>
    <col min="7664" max="7664" width="14.140625" style="30" customWidth="1"/>
    <col min="7665" max="7909" width="9.140625" style="30"/>
    <col min="7910" max="7910" width="19.28515625" style="30" customWidth="1"/>
    <col min="7911" max="7911" width="10.28515625" style="30" customWidth="1"/>
    <col min="7912" max="7913" width="10" style="30" customWidth="1"/>
    <col min="7914" max="7914" width="10.5703125" style="30" customWidth="1"/>
    <col min="7915" max="7915" width="12.28515625" style="30" customWidth="1"/>
    <col min="7916" max="7916" width="13.28515625" style="30" customWidth="1"/>
    <col min="7917" max="7917" width="15.42578125" style="30" customWidth="1"/>
    <col min="7918" max="7918" width="15" style="30" customWidth="1"/>
    <col min="7919" max="7919" width="14.5703125" style="30" customWidth="1"/>
    <col min="7920" max="7920" width="14.140625" style="30" customWidth="1"/>
    <col min="7921" max="8165" width="9.140625" style="30"/>
    <col min="8166" max="8166" width="19.28515625" style="30" customWidth="1"/>
    <col min="8167" max="8167" width="10.28515625" style="30" customWidth="1"/>
    <col min="8168" max="8169" width="10" style="30" customWidth="1"/>
    <col min="8170" max="8170" width="10.5703125" style="30" customWidth="1"/>
    <col min="8171" max="8171" width="12.28515625" style="30" customWidth="1"/>
    <col min="8172" max="8172" width="13.28515625" style="30" customWidth="1"/>
    <col min="8173" max="8173" width="15.42578125" style="30" customWidth="1"/>
    <col min="8174" max="8174" width="15" style="30" customWidth="1"/>
    <col min="8175" max="8175" width="14.5703125" style="30" customWidth="1"/>
    <col min="8176" max="8176" width="14.140625" style="30" customWidth="1"/>
    <col min="8177" max="8421" width="9.140625" style="30"/>
    <col min="8422" max="8422" width="19.28515625" style="30" customWidth="1"/>
    <col min="8423" max="8423" width="10.28515625" style="30" customWidth="1"/>
    <col min="8424" max="8425" width="10" style="30" customWidth="1"/>
    <col min="8426" max="8426" width="10.5703125" style="30" customWidth="1"/>
    <col min="8427" max="8427" width="12.28515625" style="30" customWidth="1"/>
    <col min="8428" max="8428" width="13.28515625" style="30" customWidth="1"/>
    <col min="8429" max="8429" width="15.42578125" style="30" customWidth="1"/>
    <col min="8430" max="8430" width="15" style="30" customWidth="1"/>
    <col min="8431" max="8431" width="14.5703125" style="30" customWidth="1"/>
    <col min="8432" max="8432" width="14.140625" style="30" customWidth="1"/>
    <col min="8433" max="8677" width="9.140625" style="30"/>
    <col min="8678" max="8678" width="19.28515625" style="30" customWidth="1"/>
    <col min="8679" max="8679" width="10.28515625" style="30" customWidth="1"/>
    <col min="8680" max="8681" width="10" style="30" customWidth="1"/>
    <col min="8682" max="8682" width="10.5703125" style="30" customWidth="1"/>
    <col min="8683" max="8683" width="12.28515625" style="30" customWidth="1"/>
    <col min="8684" max="8684" width="13.28515625" style="30" customWidth="1"/>
    <col min="8685" max="8685" width="15.42578125" style="30" customWidth="1"/>
    <col min="8686" max="8686" width="15" style="30" customWidth="1"/>
    <col min="8687" max="8687" width="14.5703125" style="30" customWidth="1"/>
    <col min="8688" max="8688" width="14.140625" style="30" customWidth="1"/>
    <col min="8689" max="8933" width="9.140625" style="30"/>
    <col min="8934" max="8934" width="19.28515625" style="30" customWidth="1"/>
    <col min="8935" max="8935" width="10.28515625" style="30" customWidth="1"/>
    <col min="8936" max="8937" width="10" style="30" customWidth="1"/>
    <col min="8938" max="8938" width="10.5703125" style="30" customWidth="1"/>
    <col min="8939" max="8939" width="12.28515625" style="30" customWidth="1"/>
    <col min="8940" max="8940" width="13.28515625" style="30" customWidth="1"/>
    <col min="8941" max="8941" width="15.42578125" style="30" customWidth="1"/>
    <col min="8942" max="8942" width="15" style="30" customWidth="1"/>
    <col min="8943" max="8943" width="14.5703125" style="30" customWidth="1"/>
    <col min="8944" max="8944" width="14.140625" style="30" customWidth="1"/>
    <col min="8945" max="9189" width="9.140625" style="30"/>
    <col min="9190" max="9190" width="19.28515625" style="30" customWidth="1"/>
    <col min="9191" max="9191" width="10.28515625" style="30" customWidth="1"/>
    <col min="9192" max="9193" width="10" style="30" customWidth="1"/>
    <col min="9194" max="9194" width="10.5703125" style="30" customWidth="1"/>
    <col min="9195" max="9195" width="12.28515625" style="30" customWidth="1"/>
    <col min="9196" max="9196" width="13.28515625" style="30" customWidth="1"/>
    <col min="9197" max="9197" width="15.42578125" style="30" customWidth="1"/>
    <col min="9198" max="9198" width="15" style="30" customWidth="1"/>
    <col min="9199" max="9199" width="14.5703125" style="30" customWidth="1"/>
    <col min="9200" max="9200" width="14.140625" style="30" customWidth="1"/>
    <col min="9201" max="9445" width="9.140625" style="30"/>
    <col min="9446" max="9446" width="19.28515625" style="30" customWidth="1"/>
    <col min="9447" max="9447" width="10.28515625" style="30" customWidth="1"/>
    <col min="9448" max="9449" width="10" style="30" customWidth="1"/>
    <col min="9450" max="9450" width="10.5703125" style="30" customWidth="1"/>
    <col min="9451" max="9451" width="12.28515625" style="30" customWidth="1"/>
    <col min="9452" max="9452" width="13.28515625" style="30" customWidth="1"/>
    <col min="9453" max="9453" width="15.42578125" style="30" customWidth="1"/>
    <col min="9454" max="9454" width="15" style="30" customWidth="1"/>
    <col min="9455" max="9455" width="14.5703125" style="30" customWidth="1"/>
    <col min="9456" max="9456" width="14.140625" style="30" customWidth="1"/>
    <col min="9457" max="9701" width="9.140625" style="30"/>
    <col min="9702" max="9702" width="19.28515625" style="30" customWidth="1"/>
    <col min="9703" max="9703" width="10.28515625" style="30" customWidth="1"/>
    <col min="9704" max="9705" width="10" style="30" customWidth="1"/>
    <col min="9706" max="9706" width="10.5703125" style="30" customWidth="1"/>
    <col min="9707" max="9707" width="12.28515625" style="30" customWidth="1"/>
    <col min="9708" max="9708" width="13.28515625" style="30" customWidth="1"/>
    <col min="9709" max="9709" width="15.42578125" style="30" customWidth="1"/>
    <col min="9710" max="9710" width="15" style="30" customWidth="1"/>
    <col min="9711" max="9711" width="14.5703125" style="30" customWidth="1"/>
    <col min="9712" max="9712" width="14.140625" style="30" customWidth="1"/>
    <col min="9713" max="9957" width="9.140625" style="30"/>
    <col min="9958" max="9958" width="19.28515625" style="30" customWidth="1"/>
    <col min="9959" max="9959" width="10.28515625" style="30" customWidth="1"/>
    <col min="9960" max="9961" width="10" style="30" customWidth="1"/>
    <col min="9962" max="9962" width="10.5703125" style="30" customWidth="1"/>
    <col min="9963" max="9963" width="12.28515625" style="30" customWidth="1"/>
    <col min="9964" max="9964" width="13.28515625" style="30" customWidth="1"/>
    <col min="9965" max="9965" width="15.42578125" style="30" customWidth="1"/>
    <col min="9966" max="9966" width="15" style="30" customWidth="1"/>
    <col min="9967" max="9967" width="14.5703125" style="30" customWidth="1"/>
    <col min="9968" max="9968" width="14.140625" style="30" customWidth="1"/>
    <col min="9969" max="10213" width="9.140625" style="30"/>
    <col min="10214" max="10214" width="19.28515625" style="30" customWidth="1"/>
    <col min="10215" max="10215" width="10.28515625" style="30" customWidth="1"/>
    <col min="10216" max="10217" width="10" style="30" customWidth="1"/>
    <col min="10218" max="10218" width="10.5703125" style="30" customWidth="1"/>
    <col min="10219" max="10219" width="12.28515625" style="30" customWidth="1"/>
    <col min="10220" max="10220" width="13.28515625" style="30" customWidth="1"/>
    <col min="10221" max="10221" width="15.42578125" style="30" customWidth="1"/>
    <col min="10222" max="10222" width="15" style="30" customWidth="1"/>
    <col min="10223" max="10223" width="14.5703125" style="30" customWidth="1"/>
    <col min="10224" max="10224" width="14.140625" style="30" customWidth="1"/>
    <col min="10225" max="10469" width="9.140625" style="30"/>
    <col min="10470" max="10470" width="19.28515625" style="30" customWidth="1"/>
    <col min="10471" max="10471" width="10.28515625" style="30" customWidth="1"/>
    <col min="10472" max="10473" width="10" style="30" customWidth="1"/>
    <col min="10474" max="10474" width="10.5703125" style="30" customWidth="1"/>
    <col min="10475" max="10475" width="12.28515625" style="30" customWidth="1"/>
    <col min="10476" max="10476" width="13.28515625" style="30" customWidth="1"/>
    <col min="10477" max="10477" width="15.42578125" style="30" customWidth="1"/>
    <col min="10478" max="10478" width="15" style="30" customWidth="1"/>
    <col min="10479" max="10479" width="14.5703125" style="30" customWidth="1"/>
    <col min="10480" max="10480" width="14.140625" style="30" customWidth="1"/>
    <col min="10481" max="10725" width="9.140625" style="30"/>
    <col min="10726" max="10726" width="19.28515625" style="30" customWidth="1"/>
    <col min="10727" max="10727" width="10.28515625" style="30" customWidth="1"/>
    <col min="10728" max="10729" width="10" style="30" customWidth="1"/>
    <col min="10730" max="10730" width="10.5703125" style="30" customWidth="1"/>
    <col min="10731" max="10731" width="12.28515625" style="30" customWidth="1"/>
    <col min="10732" max="10732" width="13.28515625" style="30" customWidth="1"/>
    <col min="10733" max="10733" width="15.42578125" style="30" customWidth="1"/>
    <col min="10734" max="10734" width="15" style="30" customWidth="1"/>
    <col min="10735" max="10735" width="14.5703125" style="30" customWidth="1"/>
    <col min="10736" max="10736" width="14.140625" style="30" customWidth="1"/>
    <col min="10737" max="10981" width="9.140625" style="30"/>
    <col min="10982" max="10982" width="19.28515625" style="30" customWidth="1"/>
    <col min="10983" max="10983" width="10.28515625" style="30" customWidth="1"/>
    <col min="10984" max="10985" width="10" style="30" customWidth="1"/>
    <col min="10986" max="10986" width="10.5703125" style="30" customWidth="1"/>
    <col min="10987" max="10987" width="12.28515625" style="30" customWidth="1"/>
    <col min="10988" max="10988" width="13.28515625" style="30" customWidth="1"/>
    <col min="10989" max="10989" width="15.42578125" style="30" customWidth="1"/>
    <col min="10990" max="10990" width="15" style="30" customWidth="1"/>
    <col min="10991" max="10991" width="14.5703125" style="30" customWidth="1"/>
    <col min="10992" max="10992" width="14.140625" style="30" customWidth="1"/>
    <col min="10993" max="11237" width="9.140625" style="30"/>
    <col min="11238" max="11238" width="19.28515625" style="30" customWidth="1"/>
    <col min="11239" max="11239" width="10.28515625" style="30" customWidth="1"/>
    <col min="11240" max="11241" width="10" style="30" customWidth="1"/>
    <col min="11242" max="11242" width="10.5703125" style="30" customWidth="1"/>
    <col min="11243" max="11243" width="12.28515625" style="30" customWidth="1"/>
    <col min="11244" max="11244" width="13.28515625" style="30" customWidth="1"/>
    <col min="11245" max="11245" width="15.42578125" style="30" customWidth="1"/>
    <col min="11246" max="11246" width="15" style="30" customWidth="1"/>
    <col min="11247" max="11247" width="14.5703125" style="30" customWidth="1"/>
    <col min="11248" max="11248" width="14.140625" style="30" customWidth="1"/>
    <col min="11249" max="11493" width="9.140625" style="30"/>
    <col min="11494" max="11494" width="19.28515625" style="30" customWidth="1"/>
    <col min="11495" max="11495" width="10.28515625" style="30" customWidth="1"/>
    <col min="11496" max="11497" width="10" style="30" customWidth="1"/>
    <col min="11498" max="11498" width="10.5703125" style="30" customWidth="1"/>
    <col min="11499" max="11499" width="12.28515625" style="30" customWidth="1"/>
    <col min="11500" max="11500" width="13.28515625" style="30" customWidth="1"/>
    <col min="11501" max="11501" width="15.42578125" style="30" customWidth="1"/>
    <col min="11502" max="11502" width="15" style="30" customWidth="1"/>
    <col min="11503" max="11503" width="14.5703125" style="30" customWidth="1"/>
    <col min="11504" max="11504" width="14.140625" style="30" customWidth="1"/>
    <col min="11505" max="11749" width="9.140625" style="30"/>
    <col min="11750" max="11750" width="19.28515625" style="30" customWidth="1"/>
    <col min="11751" max="11751" width="10.28515625" style="30" customWidth="1"/>
    <col min="11752" max="11753" width="10" style="30" customWidth="1"/>
    <col min="11754" max="11754" width="10.5703125" style="30" customWidth="1"/>
    <col min="11755" max="11755" width="12.28515625" style="30" customWidth="1"/>
    <col min="11756" max="11756" width="13.28515625" style="30" customWidth="1"/>
    <col min="11757" max="11757" width="15.42578125" style="30" customWidth="1"/>
    <col min="11758" max="11758" width="15" style="30" customWidth="1"/>
    <col min="11759" max="11759" width="14.5703125" style="30" customWidth="1"/>
    <col min="11760" max="11760" width="14.140625" style="30" customWidth="1"/>
    <col min="11761" max="12005" width="9.140625" style="30"/>
    <col min="12006" max="12006" width="19.28515625" style="30" customWidth="1"/>
    <col min="12007" max="12007" width="10.28515625" style="30" customWidth="1"/>
    <col min="12008" max="12009" width="10" style="30" customWidth="1"/>
    <col min="12010" max="12010" width="10.5703125" style="30" customWidth="1"/>
    <col min="12011" max="12011" width="12.28515625" style="30" customWidth="1"/>
    <col min="12012" max="12012" width="13.28515625" style="30" customWidth="1"/>
    <col min="12013" max="12013" width="15.42578125" style="30" customWidth="1"/>
    <col min="12014" max="12014" width="15" style="30" customWidth="1"/>
    <col min="12015" max="12015" width="14.5703125" style="30" customWidth="1"/>
    <col min="12016" max="12016" width="14.140625" style="30" customWidth="1"/>
    <col min="12017" max="12261" width="9.140625" style="30"/>
    <col min="12262" max="12262" width="19.28515625" style="30" customWidth="1"/>
    <col min="12263" max="12263" width="10.28515625" style="30" customWidth="1"/>
    <col min="12264" max="12265" width="10" style="30" customWidth="1"/>
    <col min="12266" max="12266" width="10.5703125" style="30" customWidth="1"/>
    <col min="12267" max="12267" width="12.28515625" style="30" customWidth="1"/>
    <col min="12268" max="12268" width="13.28515625" style="30" customWidth="1"/>
    <col min="12269" max="12269" width="15.42578125" style="30" customWidth="1"/>
    <col min="12270" max="12270" width="15" style="30" customWidth="1"/>
    <col min="12271" max="12271" width="14.5703125" style="30" customWidth="1"/>
    <col min="12272" max="12272" width="14.140625" style="30" customWidth="1"/>
    <col min="12273" max="12517" width="9.140625" style="30"/>
    <col min="12518" max="12518" width="19.28515625" style="30" customWidth="1"/>
    <col min="12519" max="12519" width="10.28515625" style="30" customWidth="1"/>
    <col min="12520" max="12521" width="10" style="30" customWidth="1"/>
    <col min="12522" max="12522" width="10.5703125" style="30" customWidth="1"/>
    <col min="12523" max="12523" width="12.28515625" style="30" customWidth="1"/>
    <col min="12524" max="12524" width="13.28515625" style="30" customWidth="1"/>
    <col min="12525" max="12525" width="15.42578125" style="30" customWidth="1"/>
    <col min="12526" max="12526" width="15" style="30" customWidth="1"/>
    <col min="12527" max="12527" width="14.5703125" style="30" customWidth="1"/>
    <col min="12528" max="12528" width="14.140625" style="30" customWidth="1"/>
    <col min="12529" max="12773" width="9.140625" style="30"/>
    <col min="12774" max="12774" width="19.28515625" style="30" customWidth="1"/>
    <col min="12775" max="12775" width="10.28515625" style="30" customWidth="1"/>
    <col min="12776" max="12777" width="10" style="30" customWidth="1"/>
    <col min="12778" max="12778" width="10.5703125" style="30" customWidth="1"/>
    <col min="12779" max="12779" width="12.28515625" style="30" customWidth="1"/>
    <col min="12780" max="12780" width="13.28515625" style="30" customWidth="1"/>
    <col min="12781" max="12781" width="15.42578125" style="30" customWidth="1"/>
    <col min="12782" max="12782" width="15" style="30" customWidth="1"/>
    <col min="12783" max="12783" width="14.5703125" style="30" customWidth="1"/>
    <col min="12784" max="12784" width="14.140625" style="30" customWidth="1"/>
    <col min="12785" max="13029" width="9.140625" style="30"/>
    <col min="13030" max="13030" width="19.28515625" style="30" customWidth="1"/>
    <col min="13031" max="13031" width="10.28515625" style="30" customWidth="1"/>
    <col min="13032" max="13033" width="10" style="30" customWidth="1"/>
    <col min="13034" max="13034" width="10.5703125" style="30" customWidth="1"/>
    <col min="13035" max="13035" width="12.28515625" style="30" customWidth="1"/>
    <col min="13036" max="13036" width="13.28515625" style="30" customWidth="1"/>
    <col min="13037" max="13037" width="15.42578125" style="30" customWidth="1"/>
    <col min="13038" max="13038" width="15" style="30" customWidth="1"/>
    <col min="13039" max="13039" width="14.5703125" style="30" customWidth="1"/>
    <col min="13040" max="13040" width="14.140625" style="30" customWidth="1"/>
    <col min="13041" max="13285" width="9.140625" style="30"/>
    <col min="13286" max="13286" width="19.28515625" style="30" customWidth="1"/>
    <col min="13287" max="13287" width="10.28515625" style="30" customWidth="1"/>
    <col min="13288" max="13289" width="10" style="30" customWidth="1"/>
    <col min="13290" max="13290" width="10.5703125" style="30" customWidth="1"/>
    <col min="13291" max="13291" width="12.28515625" style="30" customWidth="1"/>
    <col min="13292" max="13292" width="13.28515625" style="30" customWidth="1"/>
    <col min="13293" max="13293" width="15.42578125" style="30" customWidth="1"/>
    <col min="13294" max="13294" width="15" style="30" customWidth="1"/>
    <col min="13295" max="13295" width="14.5703125" style="30" customWidth="1"/>
    <col min="13296" max="13296" width="14.140625" style="30" customWidth="1"/>
    <col min="13297" max="13541" width="9.140625" style="30"/>
    <col min="13542" max="13542" width="19.28515625" style="30" customWidth="1"/>
    <col min="13543" max="13543" width="10.28515625" style="30" customWidth="1"/>
    <col min="13544" max="13545" width="10" style="30" customWidth="1"/>
    <col min="13546" max="13546" width="10.5703125" style="30" customWidth="1"/>
    <col min="13547" max="13547" width="12.28515625" style="30" customWidth="1"/>
    <col min="13548" max="13548" width="13.28515625" style="30" customWidth="1"/>
    <col min="13549" max="13549" width="15.42578125" style="30" customWidth="1"/>
    <col min="13550" max="13550" width="15" style="30" customWidth="1"/>
    <col min="13551" max="13551" width="14.5703125" style="30" customWidth="1"/>
    <col min="13552" max="13552" width="14.140625" style="30" customWidth="1"/>
    <col min="13553" max="13797" width="9.140625" style="30"/>
    <col min="13798" max="13798" width="19.28515625" style="30" customWidth="1"/>
    <col min="13799" max="13799" width="10.28515625" style="30" customWidth="1"/>
    <col min="13800" max="13801" width="10" style="30" customWidth="1"/>
    <col min="13802" max="13802" width="10.5703125" style="30" customWidth="1"/>
    <col min="13803" max="13803" width="12.28515625" style="30" customWidth="1"/>
    <col min="13804" max="13804" width="13.28515625" style="30" customWidth="1"/>
    <col min="13805" max="13805" width="15.42578125" style="30" customWidth="1"/>
    <col min="13806" max="13806" width="15" style="30" customWidth="1"/>
    <col min="13807" max="13807" width="14.5703125" style="30" customWidth="1"/>
    <col min="13808" max="13808" width="14.140625" style="30" customWidth="1"/>
    <col min="13809" max="14053" width="9.140625" style="30"/>
    <col min="14054" max="14054" width="19.28515625" style="30" customWidth="1"/>
    <col min="14055" max="14055" width="10.28515625" style="30" customWidth="1"/>
    <col min="14056" max="14057" width="10" style="30" customWidth="1"/>
    <col min="14058" max="14058" width="10.5703125" style="30" customWidth="1"/>
    <col min="14059" max="14059" width="12.28515625" style="30" customWidth="1"/>
    <col min="14060" max="14060" width="13.28515625" style="30" customWidth="1"/>
    <col min="14061" max="14061" width="15.42578125" style="30" customWidth="1"/>
    <col min="14062" max="14062" width="15" style="30" customWidth="1"/>
    <col min="14063" max="14063" width="14.5703125" style="30" customWidth="1"/>
    <col min="14064" max="14064" width="14.140625" style="30" customWidth="1"/>
    <col min="14065" max="14309" width="9.140625" style="30"/>
    <col min="14310" max="14310" width="19.28515625" style="30" customWidth="1"/>
    <col min="14311" max="14311" width="10.28515625" style="30" customWidth="1"/>
    <col min="14312" max="14313" width="10" style="30" customWidth="1"/>
    <col min="14314" max="14314" width="10.5703125" style="30" customWidth="1"/>
    <col min="14315" max="14315" width="12.28515625" style="30" customWidth="1"/>
    <col min="14316" max="14316" width="13.28515625" style="30" customWidth="1"/>
    <col min="14317" max="14317" width="15.42578125" style="30" customWidth="1"/>
    <col min="14318" max="14318" width="15" style="30" customWidth="1"/>
    <col min="14319" max="14319" width="14.5703125" style="30" customWidth="1"/>
    <col min="14320" max="14320" width="14.140625" style="30" customWidth="1"/>
    <col min="14321" max="14565" width="9.140625" style="30"/>
    <col min="14566" max="14566" width="19.28515625" style="30" customWidth="1"/>
    <col min="14567" max="14567" width="10.28515625" style="30" customWidth="1"/>
    <col min="14568" max="14569" width="10" style="30" customWidth="1"/>
    <col min="14570" max="14570" width="10.5703125" style="30" customWidth="1"/>
    <col min="14571" max="14571" width="12.28515625" style="30" customWidth="1"/>
    <col min="14572" max="14572" width="13.28515625" style="30" customWidth="1"/>
    <col min="14573" max="14573" width="15.42578125" style="30" customWidth="1"/>
    <col min="14574" max="14574" width="15" style="30" customWidth="1"/>
    <col min="14575" max="14575" width="14.5703125" style="30" customWidth="1"/>
    <col min="14576" max="14576" width="14.140625" style="30" customWidth="1"/>
    <col min="14577" max="14821" width="9.140625" style="30"/>
    <col min="14822" max="14822" width="19.28515625" style="30" customWidth="1"/>
    <col min="14823" max="14823" width="10.28515625" style="30" customWidth="1"/>
    <col min="14824" max="14825" width="10" style="30" customWidth="1"/>
    <col min="14826" max="14826" width="10.5703125" style="30" customWidth="1"/>
    <col min="14827" max="14827" width="12.28515625" style="30" customWidth="1"/>
    <col min="14828" max="14828" width="13.28515625" style="30" customWidth="1"/>
    <col min="14829" max="14829" width="15.42578125" style="30" customWidth="1"/>
    <col min="14830" max="14830" width="15" style="30" customWidth="1"/>
    <col min="14831" max="14831" width="14.5703125" style="30" customWidth="1"/>
    <col min="14832" max="14832" width="14.140625" style="30" customWidth="1"/>
    <col min="14833" max="15077" width="9.140625" style="30"/>
    <col min="15078" max="15078" width="19.28515625" style="30" customWidth="1"/>
    <col min="15079" max="15079" width="10.28515625" style="30" customWidth="1"/>
    <col min="15080" max="15081" width="10" style="30" customWidth="1"/>
    <col min="15082" max="15082" width="10.5703125" style="30" customWidth="1"/>
    <col min="15083" max="15083" width="12.28515625" style="30" customWidth="1"/>
    <col min="15084" max="15084" width="13.28515625" style="30" customWidth="1"/>
    <col min="15085" max="15085" width="15.42578125" style="30" customWidth="1"/>
    <col min="15086" max="15086" width="15" style="30" customWidth="1"/>
    <col min="15087" max="15087" width="14.5703125" style="30" customWidth="1"/>
    <col min="15088" max="15088" width="14.140625" style="30" customWidth="1"/>
    <col min="15089" max="15333" width="9.140625" style="30"/>
    <col min="15334" max="15334" width="19.28515625" style="30" customWidth="1"/>
    <col min="15335" max="15335" width="10.28515625" style="30" customWidth="1"/>
    <col min="15336" max="15337" width="10" style="30" customWidth="1"/>
    <col min="15338" max="15338" width="10.5703125" style="30" customWidth="1"/>
    <col min="15339" max="15339" width="12.28515625" style="30" customWidth="1"/>
    <col min="15340" max="15340" width="13.28515625" style="30" customWidth="1"/>
    <col min="15341" max="15341" width="15.42578125" style="30" customWidth="1"/>
    <col min="15342" max="15342" width="15" style="30" customWidth="1"/>
    <col min="15343" max="15343" width="14.5703125" style="30" customWidth="1"/>
    <col min="15344" max="15344" width="14.140625" style="30" customWidth="1"/>
    <col min="15345" max="15589" width="9.140625" style="30"/>
    <col min="15590" max="15590" width="19.28515625" style="30" customWidth="1"/>
    <col min="15591" max="15591" width="10.28515625" style="30" customWidth="1"/>
    <col min="15592" max="15593" width="10" style="30" customWidth="1"/>
    <col min="15594" max="15594" width="10.5703125" style="30" customWidth="1"/>
    <col min="15595" max="15595" width="12.28515625" style="30" customWidth="1"/>
    <col min="15596" max="15596" width="13.28515625" style="30" customWidth="1"/>
    <col min="15597" max="15597" width="15.42578125" style="30" customWidth="1"/>
    <col min="15598" max="15598" width="15" style="30" customWidth="1"/>
    <col min="15599" max="15599" width="14.5703125" style="30" customWidth="1"/>
    <col min="15600" max="15600" width="14.140625" style="30" customWidth="1"/>
    <col min="15601" max="15845" width="9.140625" style="30"/>
    <col min="15846" max="15846" width="19.28515625" style="30" customWidth="1"/>
    <col min="15847" max="15847" width="10.28515625" style="30" customWidth="1"/>
    <col min="15848" max="15849" width="10" style="30" customWidth="1"/>
    <col min="15850" max="15850" width="10.5703125" style="30" customWidth="1"/>
    <col min="15851" max="15851" width="12.28515625" style="30" customWidth="1"/>
    <col min="15852" max="15852" width="13.28515625" style="30" customWidth="1"/>
    <col min="15853" max="15853" width="15.42578125" style="30" customWidth="1"/>
    <col min="15854" max="15854" width="15" style="30" customWidth="1"/>
    <col min="15855" max="15855" width="14.5703125" style="30" customWidth="1"/>
    <col min="15856" max="15856" width="14.140625" style="30" customWidth="1"/>
    <col min="15857" max="16101" width="9.140625" style="30"/>
    <col min="16102" max="16102" width="19.28515625" style="30" customWidth="1"/>
    <col min="16103" max="16103" width="10.28515625" style="30" customWidth="1"/>
    <col min="16104" max="16105" width="10" style="30" customWidth="1"/>
    <col min="16106" max="16106" width="10.5703125" style="30" customWidth="1"/>
    <col min="16107" max="16107" width="12.28515625" style="30" customWidth="1"/>
    <col min="16108" max="16108" width="13.28515625" style="30" customWidth="1"/>
    <col min="16109" max="16109" width="15.42578125" style="30" customWidth="1"/>
    <col min="16110" max="16110" width="15" style="30" customWidth="1"/>
    <col min="16111" max="16111" width="14.5703125" style="30" customWidth="1"/>
    <col min="16112" max="16112" width="14.140625" style="30" customWidth="1"/>
    <col min="16113" max="16349" width="9.140625" style="30"/>
    <col min="16350" max="16368" width="9.140625" style="30" customWidth="1"/>
    <col min="16369" max="16384" width="9.140625" style="30"/>
  </cols>
  <sheetData>
    <row r="1" spans="1:57" ht="12.75" customHeight="1" x14ac:dyDescent="0.2">
      <c r="A1" s="577" t="s">
        <v>711</v>
      </c>
      <c r="B1" s="577"/>
    </row>
    <row r="2" spans="1:57" ht="16.5" customHeight="1" x14ac:dyDescent="0.2">
      <c r="A2" s="991" t="s">
        <v>132</v>
      </c>
      <c r="B2" s="1182"/>
      <c r="C2" s="1182"/>
      <c r="D2" s="1182"/>
      <c r="E2" s="1182"/>
      <c r="F2" s="1182"/>
      <c r="G2" s="1182"/>
      <c r="H2" s="1182"/>
      <c r="I2" s="1182"/>
      <c r="J2" s="1186"/>
      <c r="K2" s="1186"/>
      <c r="L2" s="1186"/>
      <c r="M2" s="1186"/>
      <c r="N2" s="1186"/>
      <c r="O2" s="1186"/>
      <c r="P2" s="1186"/>
      <c r="Q2" s="1186"/>
      <c r="R2" s="1186"/>
      <c r="S2" s="1186"/>
      <c r="T2" s="1186"/>
      <c r="U2" s="1186"/>
      <c r="V2" s="1186"/>
      <c r="W2" s="1186"/>
      <c r="X2" s="1186"/>
      <c r="Y2" s="1186"/>
      <c r="Z2" s="1186"/>
      <c r="AA2" s="1186"/>
      <c r="AB2" s="1186"/>
      <c r="AL2" s="856"/>
      <c r="AM2" s="856"/>
    </row>
    <row r="3" spans="1:57" ht="30" customHeight="1" x14ac:dyDescent="0.2">
      <c r="A3" s="1181"/>
      <c r="B3" s="1183" t="s">
        <v>363</v>
      </c>
      <c r="C3" s="1183"/>
      <c r="D3" s="1183"/>
      <c r="E3" s="1183"/>
      <c r="F3" s="1183"/>
      <c r="G3" s="1183"/>
      <c r="H3" s="1183"/>
      <c r="I3" s="1183"/>
      <c r="J3" s="1187"/>
      <c r="K3" s="1188"/>
      <c r="L3" s="1188"/>
      <c r="M3" s="1188"/>
      <c r="N3" s="1188"/>
      <c r="O3" s="1188"/>
      <c r="P3" s="1188"/>
      <c r="Q3" s="1188"/>
      <c r="R3" s="1188"/>
      <c r="S3" s="1188"/>
      <c r="T3" s="1188"/>
      <c r="U3" s="1188"/>
      <c r="V3" s="1188"/>
      <c r="W3" s="1188"/>
      <c r="X3" s="1188"/>
      <c r="Y3" s="1188"/>
      <c r="Z3" s="1188"/>
      <c r="AA3" s="1188"/>
      <c r="AB3" s="1188"/>
      <c r="AC3" s="1188"/>
      <c r="AD3" s="1188"/>
      <c r="AE3" s="1189"/>
      <c r="AF3" s="1190"/>
      <c r="AG3" s="1191"/>
      <c r="AH3" s="1191"/>
      <c r="AI3" s="1191"/>
      <c r="AJ3" s="1191"/>
      <c r="AK3" s="1191"/>
      <c r="AL3" s="1191"/>
      <c r="AM3" s="1191"/>
      <c r="AN3" s="1191"/>
      <c r="AO3" s="1191"/>
      <c r="AP3" s="1191"/>
      <c r="AQ3" s="1191"/>
      <c r="AR3" s="1191"/>
      <c r="AS3" s="1191"/>
      <c r="AT3" s="1191"/>
      <c r="AU3" s="1191"/>
      <c r="AV3" s="1191"/>
      <c r="AW3" s="1191"/>
      <c r="AX3" s="1191"/>
      <c r="AY3" s="1191"/>
      <c r="AZ3" s="1191"/>
      <c r="BA3" s="1192"/>
      <c r="BB3" s="359">
        <v>0.64</v>
      </c>
    </row>
    <row r="4" spans="1:57" ht="213" customHeight="1" x14ac:dyDescent="0.2">
      <c r="A4" s="1181"/>
      <c r="B4" s="456" t="s">
        <v>301</v>
      </c>
      <c r="C4" s="232" t="s">
        <v>302</v>
      </c>
      <c r="D4" s="456" t="s">
        <v>740</v>
      </c>
      <c r="E4" s="456" t="s">
        <v>739</v>
      </c>
      <c r="F4" s="456" t="s">
        <v>738</v>
      </c>
      <c r="G4" s="232" t="s">
        <v>376</v>
      </c>
      <c r="H4" s="232" t="s">
        <v>303</v>
      </c>
      <c r="I4" s="232" t="s">
        <v>734</v>
      </c>
      <c r="J4" s="233" t="s">
        <v>306</v>
      </c>
      <c r="K4" s="233" t="s">
        <v>310</v>
      </c>
      <c r="L4" s="233" t="s">
        <v>741</v>
      </c>
      <c r="M4" s="233" t="s">
        <v>742</v>
      </c>
      <c r="N4" s="233" t="s">
        <v>743</v>
      </c>
      <c r="O4" s="233" t="s">
        <v>305</v>
      </c>
      <c r="P4" s="233" t="s">
        <v>308</v>
      </c>
      <c r="Q4" s="474" t="s">
        <v>657</v>
      </c>
      <c r="R4" s="474" t="s">
        <v>309</v>
      </c>
      <c r="S4" s="233" t="s">
        <v>300</v>
      </c>
      <c r="T4" s="233" t="s">
        <v>388</v>
      </c>
      <c r="U4" s="907" t="s">
        <v>307</v>
      </c>
      <c r="V4" s="233" t="s">
        <v>735</v>
      </c>
      <c r="W4" s="907" t="s">
        <v>736</v>
      </c>
      <c r="X4" s="866" t="s">
        <v>699</v>
      </c>
      <c r="Y4" s="866" t="s">
        <v>703</v>
      </c>
      <c r="Z4" s="866" t="s">
        <v>700</v>
      </c>
      <c r="AA4" s="866" t="s">
        <v>704</v>
      </c>
      <c r="AB4" s="866" t="s">
        <v>701</v>
      </c>
      <c r="AC4" s="866" t="s">
        <v>705</v>
      </c>
      <c r="AD4" s="867" t="s">
        <v>702</v>
      </c>
      <c r="AE4" s="867" t="s">
        <v>706</v>
      </c>
      <c r="AF4" s="322" t="s">
        <v>306</v>
      </c>
      <c r="AG4" s="322" t="s">
        <v>310</v>
      </c>
      <c r="AH4" s="941" t="s">
        <v>741</v>
      </c>
      <c r="AI4" s="941" t="s">
        <v>742</v>
      </c>
      <c r="AJ4" s="941" t="s">
        <v>743</v>
      </c>
      <c r="AK4" s="322" t="s">
        <v>305</v>
      </c>
      <c r="AL4" s="322" t="s">
        <v>308</v>
      </c>
      <c r="AM4" s="322" t="s">
        <v>657</v>
      </c>
      <c r="AN4" s="322" t="s">
        <v>309</v>
      </c>
      <c r="AO4" s="322" t="s">
        <v>300</v>
      </c>
      <c r="AP4" s="322" t="s">
        <v>388</v>
      </c>
      <c r="AQ4" s="322" t="s">
        <v>307</v>
      </c>
      <c r="AR4" s="869" t="s">
        <v>735</v>
      </c>
      <c r="AS4" s="869" t="s">
        <v>736</v>
      </c>
      <c r="AT4" s="864" t="s">
        <v>699</v>
      </c>
      <c r="AU4" s="864" t="s">
        <v>703</v>
      </c>
      <c r="AV4" s="864" t="s">
        <v>700</v>
      </c>
      <c r="AW4" s="864" t="s">
        <v>704</v>
      </c>
      <c r="AX4" s="864" t="s">
        <v>701</v>
      </c>
      <c r="AY4" s="864" t="s">
        <v>705</v>
      </c>
      <c r="AZ4" s="865" t="s">
        <v>702</v>
      </c>
      <c r="BA4" s="865" t="s">
        <v>706</v>
      </c>
      <c r="BB4" s="1139" t="s">
        <v>9</v>
      </c>
    </row>
    <row r="5" spans="1:57" ht="30" customHeight="1" x14ac:dyDescent="0.2">
      <c r="A5" s="992"/>
      <c r="B5" s="458" t="s">
        <v>343</v>
      </c>
      <c r="C5" s="458" t="s">
        <v>344</v>
      </c>
      <c r="D5" s="458"/>
      <c r="E5" s="458"/>
      <c r="F5" s="458"/>
      <c r="G5" s="458" t="s">
        <v>377</v>
      </c>
      <c r="H5" s="458" t="s">
        <v>345</v>
      </c>
      <c r="I5" s="458" t="s">
        <v>346</v>
      </c>
      <c r="J5" s="459" t="s">
        <v>347</v>
      </c>
      <c r="K5" s="459" t="s">
        <v>348</v>
      </c>
      <c r="L5" s="459"/>
      <c r="M5" s="459"/>
      <c r="N5" s="459"/>
      <c r="O5" s="459" t="s">
        <v>349</v>
      </c>
      <c r="P5" s="459" t="s">
        <v>350</v>
      </c>
      <c r="Q5" s="459" t="s">
        <v>658</v>
      </c>
      <c r="R5" s="459" t="s">
        <v>351</v>
      </c>
      <c r="S5" s="459" t="s">
        <v>352</v>
      </c>
      <c r="T5" s="870" t="s">
        <v>377</v>
      </c>
      <c r="U5" s="870" t="s">
        <v>356</v>
      </c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337" t="s">
        <v>347</v>
      </c>
      <c r="AG5" s="407" t="s">
        <v>348</v>
      </c>
      <c r="AH5" s="407"/>
      <c r="AI5" s="407"/>
      <c r="AJ5" s="942"/>
      <c r="AK5" s="337" t="s">
        <v>349</v>
      </c>
      <c r="AL5" s="337" t="s">
        <v>350</v>
      </c>
      <c r="AM5" s="337" t="s">
        <v>658</v>
      </c>
      <c r="AN5" s="337" t="s">
        <v>351</v>
      </c>
      <c r="AO5" s="337" t="s">
        <v>352</v>
      </c>
      <c r="AP5" s="337" t="s">
        <v>377</v>
      </c>
      <c r="AQ5" s="337" t="s">
        <v>356</v>
      </c>
      <c r="AR5" s="337"/>
      <c r="AS5" s="337"/>
      <c r="AT5" s="407"/>
      <c r="AU5" s="407"/>
      <c r="AV5" s="407"/>
      <c r="AW5" s="407"/>
      <c r="AX5" s="407"/>
      <c r="AY5" s="407"/>
      <c r="AZ5" s="407"/>
      <c r="BA5" s="407"/>
      <c r="BB5" s="1061"/>
      <c r="BC5" s="30" t="s">
        <v>737</v>
      </c>
    </row>
    <row r="6" spans="1:57" ht="12.75" customHeight="1" x14ac:dyDescent="0.2">
      <c r="A6" s="937" t="s">
        <v>257</v>
      </c>
      <c r="B6" s="934">
        <v>100</v>
      </c>
      <c r="C6" s="934">
        <v>330</v>
      </c>
      <c r="D6" s="899">
        <v>0</v>
      </c>
      <c r="E6" s="899">
        <v>0</v>
      </c>
      <c r="F6" s="935">
        <v>42</v>
      </c>
      <c r="G6" s="899">
        <v>0</v>
      </c>
      <c r="H6" s="899">
        <v>55</v>
      </c>
      <c r="I6" s="899">
        <v>0</v>
      </c>
      <c r="J6" s="936">
        <v>100</v>
      </c>
      <c r="K6" s="936">
        <v>329</v>
      </c>
      <c r="L6" s="900">
        <v>0</v>
      </c>
      <c r="M6" s="900">
        <v>0</v>
      </c>
      <c r="N6" s="938">
        <v>42</v>
      </c>
      <c r="O6" s="900">
        <v>0</v>
      </c>
      <c r="P6" s="900">
        <v>2</v>
      </c>
      <c r="Q6" s="900">
        <v>0</v>
      </c>
      <c r="R6" s="900">
        <v>2</v>
      </c>
      <c r="S6" s="900">
        <v>0</v>
      </c>
      <c r="T6" s="900">
        <f t="shared" ref="T6:T16" si="0">X6+Z6+AB6+AD6+V6</f>
        <v>0</v>
      </c>
      <c r="U6" s="900">
        <f>Y6+AA6+AC6+AE6+W6</f>
        <v>52</v>
      </c>
      <c r="V6" s="900">
        <v>0</v>
      </c>
      <c r="W6" s="900">
        <v>52</v>
      </c>
      <c r="X6" s="900"/>
      <c r="Y6" s="900"/>
      <c r="Z6" s="900"/>
      <c r="AA6" s="900"/>
      <c r="AB6" s="900"/>
      <c r="AC6" s="900"/>
      <c r="AD6" s="900"/>
      <c r="AE6" s="900"/>
      <c r="AF6" s="323">
        <f>ROUND(J6*$BB$3,0)</f>
        <v>64</v>
      </c>
      <c r="AG6" s="323">
        <f t="shared" ref="AG6:BA11" si="1">ROUND(K6*$BB$3,0)</f>
        <v>211</v>
      </c>
      <c r="AH6" s="323">
        <f t="shared" si="1"/>
        <v>0</v>
      </c>
      <c r="AI6" s="323">
        <f t="shared" si="1"/>
        <v>0</v>
      </c>
      <c r="AJ6" s="944">
        <f t="shared" si="1"/>
        <v>27</v>
      </c>
      <c r="AK6" s="323">
        <f t="shared" si="1"/>
        <v>0</v>
      </c>
      <c r="AL6" s="323">
        <f t="shared" si="1"/>
        <v>1</v>
      </c>
      <c r="AM6" s="323">
        <f t="shared" si="1"/>
        <v>0</v>
      </c>
      <c r="AN6" s="323">
        <f t="shared" si="1"/>
        <v>1</v>
      </c>
      <c r="AO6" s="323">
        <f t="shared" si="1"/>
        <v>0</v>
      </c>
      <c r="AP6" s="323">
        <f t="shared" si="1"/>
        <v>0</v>
      </c>
      <c r="AQ6" s="323">
        <f t="shared" si="1"/>
        <v>33</v>
      </c>
      <c r="AR6" s="323">
        <f t="shared" si="1"/>
        <v>0</v>
      </c>
      <c r="AS6" s="323">
        <f>ROUND(W6*$BB$3,0)</f>
        <v>33</v>
      </c>
      <c r="AT6" s="323">
        <f t="shared" si="1"/>
        <v>0</v>
      </c>
      <c r="AU6" s="323">
        <f t="shared" si="1"/>
        <v>0</v>
      </c>
      <c r="AV6" s="323">
        <f t="shared" si="1"/>
        <v>0</v>
      </c>
      <c r="AW6" s="323">
        <f t="shared" si="1"/>
        <v>0</v>
      </c>
      <c r="AX6" s="323">
        <f t="shared" si="1"/>
        <v>0</v>
      </c>
      <c r="AY6" s="323">
        <f t="shared" si="1"/>
        <v>0</v>
      </c>
      <c r="AZ6" s="323">
        <f t="shared" si="1"/>
        <v>0</v>
      </c>
      <c r="BA6" s="323">
        <f t="shared" si="1"/>
        <v>0</v>
      </c>
      <c r="BB6" s="540">
        <f>SUM(B6:I6)</f>
        <v>527</v>
      </c>
      <c r="BC6" s="404">
        <f>J6+K6+L6+M6+O6+P6+Q6+R6+S6+T6+U6+N6</f>
        <v>527</v>
      </c>
      <c r="BD6" s="404">
        <f>BB6-BC6</f>
        <v>0</v>
      </c>
      <c r="BE6" s="404"/>
    </row>
    <row r="7" spans="1:57" x14ac:dyDescent="0.2">
      <c r="A7" s="937" t="s">
        <v>258</v>
      </c>
      <c r="B7" s="882">
        <v>95</v>
      </c>
      <c r="C7" s="882">
        <v>390</v>
      </c>
      <c r="D7" s="882">
        <v>0</v>
      </c>
      <c r="E7" s="882">
        <v>0</v>
      </c>
      <c r="F7" s="903">
        <v>0</v>
      </c>
      <c r="G7" s="882">
        <v>0</v>
      </c>
      <c r="H7" s="882">
        <v>72</v>
      </c>
      <c r="I7" s="882">
        <v>20</v>
      </c>
      <c r="J7" s="883">
        <v>95</v>
      </c>
      <c r="K7" s="883">
        <v>390</v>
      </c>
      <c r="L7" s="883">
        <v>0</v>
      </c>
      <c r="M7" s="883">
        <v>0</v>
      </c>
      <c r="N7" s="904">
        <v>0</v>
      </c>
      <c r="O7" s="883">
        <v>0</v>
      </c>
      <c r="P7" s="883">
        <v>2</v>
      </c>
      <c r="Q7" s="883">
        <v>0</v>
      </c>
      <c r="R7" s="883">
        <v>0</v>
      </c>
      <c r="S7" s="883">
        <v>0</v>
      </c>
      <c r="T7" s="883">
        <f t="shared" si="0"/>
        <v>0</v>
      </c>
      <c r="U7" s="883">
        <f t="shared" ref="U7:U12" si="2">Y7+AA7+AC7+AE7+W7</f>
        <v>90</v>
      </c>
      <c r="V7" s="883">
        <v>0</v>
      </c>
      <c r="W7" s="943">
        <v>90</v>
      </c>
      <c r="X7" s="883"/>
      <c r="Y7" s="883"/>
      <c r="Z7" s="883"/>
      <c r="AA7" s="883"/>
      <c r="AB7" s="883"/>
      <c r="AC7" s="883"/>
      <c r="AD7" s="883"/>
      <c r="AE7" s="883"/>
      <c r="AF7" s="323">
        <f t="shared" ref="AF7:AF23" si="3">ROUND(J7*$BB$3,0)</f>
        <v>61</v>
      </c>
      <c r="AG7" s="323">
        <f t="shared" ref="AG7:AG29" si="4">ROUND(K7*$BB$3,0)</f>
        <v>250</v>
      </c>
      <c r="AH7" s="323">
        <f t="shared" ref="AH7:AH29" si="5">ROUND(L7*$BB$3,0)</f>
        <v>0</v>
      </c>
      <c r="AI7" s="323">
        <f t="shared" ref="AI7:AJ29" si="6">ROUND(M7*$BB$3,0)</f>
        <v>0</v>
      </c>
      <c r="AJ7" s="944">
        <f t="shared" si="6"/>
        <v>0</v>
      </c>
      <c r="AK7" s="944">
        <f t="shared" si="1"/>
        <v>0</v>
      </c>
      <c r="AL7" s="323">
        <f t="shared" ref="AL7:AL29" si="7">ROUND(P7*$BB$3,0)</f>
        <v>1</v>
      </c>
      <c r="AM7" s="323">
        <f t="shared" ref="AM7:AM29" si="8">ROUND(Q7*$BB$3,0)</f>
        <v>0</v>
      </c>
      <c r="AN7" s="323">
        <f t="shared" ref="AN7:AN29" si="9">ROUND(R7*$BB$3,0)</f>
        <v>0</v>
      </c>
      <c r="AO7" s="323">
        <f t="shared" ref="AO7:AO29" si="10">ROUND(S7*$BB$3,0)</f>
        <v>0</v>
      </c>
      <c r="AP7" s="323">
        <f t="shared" ref="AP7:AP29" si="11">ROUND(T7*$BB$3,0)</f>
        <v>0</v>
      </c>
      <c r="AQ7" s="323">
        <f t="shared" ref="AQ7:AQ29" si="12">ROUND(U7*$BB$3,0)</f>
        <v>58</v>
      </c>
      <c r="AR7" s="323">
        <f t="shared" ref="AR7:AR29" si="13">ROUND(V7*$BB$3,0)</f>
        <v>0</v>
      </c>
      <c r="AS7" s="323">
        <f t="shared" ref="AS7:AS29" si="14">ROUND(W7*$BB$3,0)</f>
        <v>58</v>
      </c>
      <c r="AT7" s="323">
        <f t="shared" ref="AT7:AT29" si="15">ROUND(X7*$BB$3,0)</f>
        <v>0</v>
      </c>
      <c r="AU7" s="323">
        <f t="shared" ref="AU7:AU29" si="16">ROUND(Y7*$BB$3,0)</f>
        <v>0</v>
      </c>
      <c r="AV7" s="323">
        <f t="shared" ref="AV7:AV29" si="17">ROUND(Z7*$BB$3,0)</f>
        <v>0</v>
      </c>
      <c r="AW7" s="323">
        <f t="shared" ref="AW7:AW29" si="18">ROUND(AA7*$BB$3,0)</f>
        <v>0</v>
      </c>
      <c r="AX7" s="323">
        <f t="shared" ref="AX7:AX29" si="19">ROUND(AB7*$BB$3,0)</f>
        <v>0</v>
      </c>
      <c r="AY7" s="323">
        <f t="shared" ref="AY7:AY29" si="20">ROUND(AC7*$BB$3,0)</f>
        <v>0</v>
      </c>
      <c r="AZ7" s="323">
        <f t="shared" ref="AZ7:AZ29" si="21">ROUND(AD7*$BB$3,0)</f>
        <v>0</v>
      </c>
      <c r="BA7" s="323">
        <f t="shared" ref="BA7:BA29" si="22">ROUND(AE7*$BB$3,0)</f>
        <v>0</v>
      </c>
      <c r="BB7" s="895">
        <f t="shared" ref="BB7:BB29" si="23">SUM(B7:I7)</f>
        <v>577</v>
      </c>
      <c r="BC7" s="945">
        <f t="shared" ref="BC7:BC29" si="24">J7+K7+L7+M7+O7+P7+Q7+R7+S7+T7+U7+N7</f>
        <v>577</v>
      </c>
      <c r="BD7" s="404">
        <f t="shared" ref="BD7:BD29" si="25">BB7-BC7</f>
        <v>0</v>
      </c>
      <c r="BE7" s="404"/>
    </row>
    <row r="8" spans="1:57" x14ac:dyDescent="0.2">
      <c r="A8" s="937" t="s">
        <v>259</v>
      </c>
      <c r="B8" s="908">
        <v>107</v>
      </c>
      <c r="C8" s="908">
        <v>411</v>
      </c>
      <c r="D8" s="908">
        <v>89</v>
      </c>
      <c r="E8" s="908">
        <v>37</v>
      </c>
      <c r="F8" s="908">
        <v>0</v>
      </c>
      <c r="G8" s="908">
        <v>0</v>
      </c>
      <c r="H8" s="908">
        <v>59</v>
      </c>
      <c r="I8" s="908">
        <v>86</v>
      </c>
      <c r="J8" s="909">
        <v>107</v>
      </c>
      <c r="K8" s="909">
        <v>402</v>
      </c>
      <c r="L8" s="909">
        <v>88</v>
      </c>
      <c r="M8" s="909">
        <v>35</v>
      </c>
      <c r="N8" s="909">
        <v>0</v>
      </c>
      <c r="O8" s="909">
        <v>1</v>
      </c>
      <c r="P8" s="909">
        <v>5</v>
      </c>
      <c r="Q8" s="909">
        <v>0</v>
      </c>
      <c r="R8" s="909">
        <v>6</v>
      </c>
      <c r="S8" s="909">
        <v>0</v>
      </c>
      <c r="T8" s="909">
        <f t="shared" si="0"/>
        <v>0</v>
      </c>
      <c r="U8" s="909">
        <f>Y8+AA8+AC8+AE8+W8</f>
        <v>145</v>
      </c>
      <c r="V8" s="909">
        <f t="shared" ref="V8" si="26">G8</f>
        <v>0</v>
      </c>
      <c r="W8" s="909">
        <v>145</v>
      </c>
      <c r="X8" s="909"/>
      <c r="Y8" s="909"/>
      <c r="Z8" s="909"/>
      <c r="AA8" s="909"/>
      <c r="AB8" s="909"/>
      <c r="AC8" s="909"/>
      <c r="AD8" s="909"/>
      <c r="AE8" s="909"/>
      <c r="AF8" s="323">
        <f t="shared" si="3"/>
        <v>68</v>
      </c>
      <c r="AG8" s="323">
        <f t="shared" si="4"/>
        <v>257</v>
      </c>
      <c r="AH8" s="323">
        <f>ROUND(L8*$BB$3,0)</f>
        <v>56</v>
      </c>
      <c r="AI8" s="323">
        <f>ROUND(M8*$BB$3,0)</f>
        <v>22</v>
      </c>
      <c r="AJ8" s="944">
        <f t="shared" si="6"/>
        <v>0</v>
      </c>
      <c r="AK8" s="944">
        <f t="shared" si="1"/>
        <v>1</v>
      </c>
      <c r="AL8" s="323">
        <f t="shared" si="7"/>
        <v>3</v>
      </c>
      <c r="AM8" s="323">
        <f t="shared" si="8"/>
        <v>0</v>
      </c>
      <c r="AN8" s="323">
        <f t="shared" si="9"/>
        <v>4</v>
      </c>
      <c r="AO8" s="323">
        <f t="shared" si="10"/>
        <v>0</v>
      </c>
      <c r="AP8" s="323">
        <f t="shared" si="11"/>
        <v>0</v>
      </c>
      <c r="AQ8" s="323">
        <f t="shared" si="12"/>
        <v>93</v>
      </c>
      <c r="AR8" s="323">
        <f t="shared" si="13"/>
        <v>0</v>
      </c>
      <c r="AS8" s="323">
        <f t="shared" si="14"/>
        <v>93</v>
      </c>
      <c r="AT8" s="323">
        <f t="shared" si="15"/>
        <v>0</v>
      </c>
      <c r="AU8" s="323">
        <f t="shared" si="16"/>
        <v>0</v>
      </c>
      <c r="AV8" s="323">
        <f t="shared" si="17"/>
        <v>0</v>
      </c>
      <c r="AW8" s="323">
        <f t="shared" si="18"/>
        <v>0</v>
      </c>
      <c r="AX8" s="323">
        <f t="shared" si="19"/>
        <v>0</v>
      </c>
      <c r="AY8" s="323">
        <f t="shared" si="20"/>
        <v>0</v>
      </c>
      <c r="AZ8" s="323">
        <f t="shared" si="21"/>
        <v>0</v>
      </c>
      <c r="BA8" s="323">
        <f t="shared" si="22"/>
        <v>0</v>
      </c>
      <c r="BB8" s="895">
        <f t="shared" si="23"/>
        <v>789</v>
      </c>
      <c r="BC8" s="945">
        <f t="shared" si="24"/>
        <v>789</v>
      </c>
      <c r="BD8" s="404">
        <f t="shared" si="25"/>
        <v>0</v>
      </c>
      <c r="BE8" s="404"/>
    </row>
    <row r="9" spans="1:57" ht="12.75" customHeight="1" x14ac:dyDescent="0.2">
      <c r="A9" s="937" t="s">
        <v>366</v>
      </c>
      <c r="B9" s="931">
        <v>64</v>
      </c>
      <c r="C9" s="931">
        <v>326</v>
      </c>
      <c r="D9" s="586">
        <v>0</v>
      </c>
      <c r="E9" s="586">
        <v>0</v>
      </c>
      <c r="F9" s="903">
        <v>0</v>
      </c>
      <c r="G9" s="586">
        <v>0</v>
      </c>
      <c r="H9" s="586">
        <v>24</v>
      </c>
      <c r="I9" s="586">
        <v>0</v>
      </c>
      <c r="J9" s="932">
        <v>64</v>
      </c>
      <c r="K9" s="932">
        <v>325</v>
      </c>
      <c r="L9" s="234">
        <v>0</v>
      </c>
      <c r="M9" s="234">
        <v>0</v>
      </c>
      <c r="N9" s="904">
        <v>0</v>
      </c>
      <c r="O9" s="234">
        <v>0</v>
      </c>
      <c r="P9" s="234">
        <v>0</v>
      </c>
      <c r="Q9" s="234">
        <v>0</v>
      </c>
      <c r="R9" s="234">
        <v>1</v>
      </c>
      <c r="S9" s="234">
        <v>0</v>
      </c>
      <c r="T9" s="234">
        <f t="shared" si="0"/>
        <v>0</v>
      </c>
      <c r="U9" s="234">
        <f>Y9+AA9+AC9+AE9+W9</f>
        <v>24</v>
      </c>
      <c r="V9" s="234">
        <f>G9</f>
        <v>0</v>
      </c>
      <c r="W9" s="234">
        <f t="shared" ref="W9:W29" si="27">H9+I9</f>
        <v>24</v>
      </c>
      <c r="X9" s="234"/>
      <c r="Y9" s="234"/>
      <c r="Z9" s="234"/>
      <c r="AA9" s="234"/>
      <c r="AB9" s="234"/>
      <c r="AC9" s="234"/>
      <c r="AD9" s="234"/>
      <c r="AE9" s="234"/>
      <c r="AF9" s="323">
        <f t="shared" si="3"/>
        <v>41</v>
      </c>
      <c r="AG9" s="323">
        <f t="shared" si="4"/>
        <v>208</v>
      </c>
      <c r="AH9" s="323">
        <f t="shared" si="5"/>
        <v>0</v>
      </c>
      <c r="AI9" s="323">
        <f t="shared" si="6"/>
        <v>0</v>
      </c>
      <c r="AJ9" s="944">
        <f t="shared" si="6"/>
        <v>0</v>
      </c>
      <c r="AK9" s="944">
        <f t="shared" si="1"/>
        <v>0</v>
      </c>
      <c r="AL9" s="323">
        <f t="shared" si="7"/>
        <v>0</v>
      </c>
      <c r="AM9" s="323">
        <f t="shared" si="8"/>
        <v>0</v>
      </c>
      <c r="AN9" s="323">
        <f t="shared" si="9"/>
        <v>1</v>
      </c>
      <c r="AO9" s="323">
        <f t="shared" si="10"/>
        <v>0</v>
      </c>
      <c r="AP9" s="323">
        <f t="shared" si="11"/>
        <v>0</v>
      </c>
      <c r="AQ9" s="323">
        <f t="shared" si="12"/>
        <v>15</v>
      </c>
      <c r="AR9" s="323">
        <f t="shared" si="13"/>
        <v>0</v>
      </c>
      <c r="AS9" s="323">
        <f t="shared" si="14"/>
        <v>15</v>
      </c>
      <c r="AT9" s="323">
        <f t="shared" si="15"/>
        <v>0</v>
      </c>
      <c r="AU9" s="323">
        <f t="shared" si="16"/>
        <v>0</v>
      </c>
      <c r="AV9" s="323">
        <f t="shared" si="17"/>
        <v>0</v>
      </c>
      <c r="AW9" s="323">
        <f t="shared" si="18"/>
        <v>0</v>
      </c>
      <c r="AX9" s="323">
        <f t="shared" si="19"/>
        <v>0</v>
      </c>
      <c r="AY9" s="323">
        <f t="shared" si="20"/>
        <v>0</v>
      </c>
      <c r="AZ9" s="323">
        <f t="shared" si="21"/>
        <v>0</v>
      </c>
      <c r="BA9" s="323">
        <f t="shared" si="22"/>
        <v>0</v>
      </c>
      <c r="BB9" s="895">
        <f t="shared" si="23"/>
        <v>414</v>
      </c>
      <c r="BC9" s="945">
        <f t="shared" si="24"/>
        <v>414</v>
      </c>
      <c r="BD9" s="404">
        <f t="shared" si="25"/>
        <v>0</v>
      </c>
      <c r="BE9" s="404"/>
    </row>
    <row r="10" spans="1:57" ht="12.75" customHeight="1" x14ac:dyDescent="0.2">
      <c r="A10" s="913" t="s">
        <v>365</v>
      </c>
      <c r="B10" s="903">
        <v>56</v>
      </c>
      <c r="C10" s="903">
        <v>211</v>
      </c>
      <c r="D10" s="903">
        <v>0</v>
      </c>
      <c r="E10" s="903">
        <v>0</v>
      </c>
      <c r="F10" s="903">
        <v>0</v>
      </c>
      <c r="G10" s="903">
        <v>0</v>
      </c>
      <c r="H10" s="903">
        <v>28</v>
      </c>
      <c r="I10" s="903">
        <v>0</v>
      </c>
      <c r="J10" s="904">
        <v>52</v>
      </c>
      <c r="K10" s="904">
        <v>212</v>
      </c>
      <c r="L10" s="912">
        <v>0</v>
      </c>
      <c r="M10" s="912">
        <v>0</v>
      </c>
      <c r="N10" s="912">
        <v>0</v>
      </c>
      <c r="O10" s="904">
        <v>0</v>
      </c>
      <c r="P10" s="938">
        <v>3</v>
      </c>
      <c r="Q10" s="904">
        <v>0</v>
      </c>
      <c r="R10" s="904">
        <v>1</v>
      </c>
      <c r="S10" s="904">
        <v>0</v>
      </c>
      <c r="T10" s="904">
        <v>0</v>
      </c>
      <c r="U10" s="938">
        <f t="shared" si="2"/>
        <v>27</v>
      </c>
      <c r="V10" s="904">
        <v>0</v>
      </c>
      <c r="W10" s="938">
        <v>27</v>
      </c>
      <c r="X10" s="904"/>
      <c r="Y10" s="904"/>
      <c r="Z10" s="904"/>
      <c r="AA10" s="904"/>
      <c r="AB10" s="911"/>
      <c r="AC10" s="911"/>
      <c r="AD10" s="910"/>
      <c r="AE10" s="910"/>
      <c r="AF10" s="323">
        <f t="shared" si="3"/>
        <v>33</v>
      </c>
      <c r="AG10" s="323">
        <f t="shared" si="4"/>
        <v>136</v>
      </c>
      <c r="AH10" s="323">
        <f t="shared" si="5"/>
        <v>0</v>
      </c>
      <c r="AI10" s="323">
        <f t="shared" si="6"/>
        <v>0</v>
      </c>
      <c r="AJ10" s="944">
        <f t="shared" si="6"/>
        <v>0</v>
      </c>
      <c r="AK10" s="944">
        <f t="shared" si="1"/>
        <v>0</v>
      </c>
      <c r="AL10" s="323">
        <f t="shared" si="7"/>
        <v>2</v>
      </c>
      <c r="AM10" s="323">
        <f t="shared" si="8"/>
        <v>0</v>
      </c>
      <c r="AN10" s="323">
        <f t="shared" si="9"/>
        <v>1</v>
      </c>
      <c r="AO10" s="323">
        <f t="shared" si="10"/>
        <v>0</v>
      </c>
      <c r="AP10" s="323">
        <f t="shared" si="11"/>
        <v>0</v>
      </c>
      <c r="AQ10" s="323">
        <f t="shared" si="12"/>
        <v>17</v>
      </c>
      <c r="AR10" s="323">
        <f t="shared" si="13"/>
        <v>0</v>
      </c>
      <c r="AS10" s="323">
        <f t="shared" si="14"/>
        <v>17</v>
      </c>
      <c r="AT10" s="323">
        <f t="shared" si="15"/>
        <v>0</v>
      </c>
      <c r="AU10" s="323">
        <f t="shared" si="16"/>
        <v>0</v>
      </c>
      <c r="AV10" s="323">
        <f t="shared" si="17"/>
        <v>0</v>
      </c>
      <c r="AW10" s="323">
        <f t="shared" si="18"/>
        <v>0</v>
      </c>
      <c r="AX10" s="323">
        <f t="shared" si="19"/>
        <v>0</v>
      </c>
      <c r="AY10" s="323">
        <f t="shared" si="20"/>
        <v>0</v>
      </c>
      <c r="AZ10" s="323">
        <f t="shared" si="21"/>
        <v>0</v>
      </c>
      <c r="BA10" s="323">
        <f t="shared" si="22"/>
        <v>0</v>
      </c>
      <c r="BB10" s="895">
        <f t="shared" si="23"/>
        <v>295</v>
      </c>
      <c r="BC10" s="945">
        <f t="shared" si="24"/>
        <v>295</v>
      </c>
      <c r="BD10" s="404">
        <f t="shared" si="25"/>
        <v>0</v>
      </c>
      <c r="BE10" s="404"/>
    </row>
    <row r="11" spans="1:57" ht="12.75" customHeight="1" x14ac:dyDescent="0.2">
      <c r="A11" s="948" t="s">
        <v>367</v>
      </c>
      <c r="B11" s="931">
        <v>25</v>
      </c>
      <c r="C11" s="931">
        <v>204</v>
      </c>
      <c r="D11" s="586">
        <v>0</v>
      </c>
      <c r="E11" s="586">
        <v>0</v>
      </c>
      <c r="F11" s="903">
        <v>0</v>
      </c>
      <c r="G11" s="586">
        <v>0</v>
      </c>
      <c r="H11" s="586">
        <v>14</v>
      </c>
      <c r="I11" s="586">
        <v>0</v>
      </c>
      <c r="J11" s="234">
        <v>24</v>
      </c>
      <c r="K11" s="234">
        <v>201</v>
      </c>
      <c r="L11" s="234">
        <v>0</v>
      </c>
      <c r="M11" s="234">
        <v>0</v>
      </c>
      <c r="N11" s="904">
        <v>0</v>
      </c>
      <c r="O11" s="234">
        <v>1</v>
      </c>
      <c r="P11" s="234">
        <v>3</v>
      </c>
      <c r="Q11" s="234"/>
      <c r="R11" s="234">
        <v>3</v>
      </c>
      <c r="S11" s="234"/>
      <c r="T11" s="234">
        <f t="shared" si="0"/>
        <v>0</v>
      </c>
      <c r="U11" s="234">
        <f>Y11+AA11+AC11+AE11+W11</f>
        <v>11</v>
      </c>
      <c r="V11" s="234">
        <f>G11</f>
        <v>0</v>
      </c>
      <c r="W11" s="234">
        <v>11</v>
      </c>
      <c r="X11" s="234"/>
      <c r="Y11" s="234"/>
      <c r="Z11" s="234"/>
      <c r="AA11" s="234"/>
      <c r="AB11" s="234"/>
      <c r="AC11" s="234"/>
      <c r="AD11" s="234"/>
      <c r="AE11" s="234"/>
      <c r="AF11" s="323">
        <f t="shared" si="3"/>
        <v>15</v>
      </c>
      <c r="AG11" s="323">
        <f t="shared" si="4"/>
        <v>129</v>
      </c>
      <c r="AH11" s="323">
        <f t="shared" si="5"/>
        <v>0</v>
      </c>
      <c r="AI11" s="323">
        <f t="shared" si="6"/>
        <v>0</v>
      </c>
      <c r="AJ11" s="944">
        <f t="shared" si="6"/>
        <v>0</v>
      </c>
      <c r="AK11" s="944">
        <f t="shared" si="1"/>
        <v>1</v>
      </c>
      <c r="AL11" s="323">
        <f t="shared" si="7"/>
        <v>2</v>
      </c>
      <c r="AM11" s="323">
        <f t="shared" si="8"/>
        <v>0</v>
      </c>
      <c r="AN11" s="323">
        <f t="shared" si="9"/>
        <v>2</v>
      </c>
      <c r="AO11" s="323">
        <f t="shared" si="10"/>
        <v>0</v>
      </c>
      <c r="AP11" s="323">
        <f t="shared" si="11"/>
        <v>0</v>
      </c>
      <c r="AQ11" s="323">
        <f t="shared" si="12"/>
        <v>7</v>
      </c>
      <c r="AR11" s="323">
        <f t="shared" si="13"/>
        <v>0</v>
      </c>
      <c r="AS11" s="323">
        <f t="shared" si="14"/>
        <v>7</v>
      </c>
      <c r="AT11" s="323">
        <f t="shared" si="15"/>
        <v>0</v>
      </c>
      <c r="AU11" s="323">
        <f t="shared" si="16"/>
        <v>0</v>
      </c>
      <c r="AV11" s="323">
        <f t="shared" si="17"/>
        <v>0</v>
      </c>
      <c r="AW11" s="323">
        <f t="shared" si="18"/>
        <v>0</v>
      </c>
      <c r="AX11" s="323">
        <f t="shared" si="19"/>
        <v>0</v>
      </c>
      <c r="AY11" s="323">
        <f t="shared" si="20"/>
        <v>0</v>
      </c>
      <c r="AZ11" s="323">
        <f t="shared" si="21"/>
        <v>0</v>
      </c>
      <c r="BA11" s="323">
        <f t="shared" si="22"/>
        <v>0</v>
      </c>
      <c r="BB11" s="895">
        <f t="shared" si="23"/>
        <v>243</v>
      </c>
      <c r="BC11" s="945">
        <f t="shared" si="24"/>
        <v>243</v>
      </c>
      <c r="BD11" s="404">
        <f>BB11-BC11</f>
        <v>0</v>
      </c>
      <c r="BE11" s="404"/>
    </row>
    <row r="12" spans="1:57" ht="12.75" customHeight="1" x14ac:dyDescent="0.2">
      <c r="A12" s="913" t="s">
        <v>430</v>
      </c>
      <c r="B12" s="876">
        <v>35</v>
      </c>
      <c r="C12" s="876">
        <v>135</v>
      </c>
      <c r="D12" s="876">
        <v>0</v>
      </c>
      <c r="E12" s="876">
        <v>0</v>
      </c>
      <c r="F12" s="876">
        <v>0</v>
      </c>
      <c r="G12" s="876">
        <v>0</v>
      </c>
      <c r="H12" s="876">
        <v>0</v>
      </c>
      <c r="I12" s="875">
        <v>0</v>
      </c>
      <c r="J12" s="877">
        <v>35</v>
      </c>
      <c r="K12" s="877">
        <v>126</v>
      </c>
      <c r="L12" s="877">
        <v>0</v>
      </c>
      <c r="M12" s="877">
        <v>0</v>
      </c>
      <c r="N12" s="904">
        <v>0</v>
      </c>
      <c r="O12" s="877">
        <v>0</v>
      </c>
      <c r="P12" s="877">
        <v>2</v>
      </c>
      <c r="Q12" s="877">
        <v>0</v>
      </c>
      <c r="R12" s="877">
        <v>0</v>
      </c>
      <c r="S12" s="877">
        <v>0</v>
      </c>
      <c r="T12" s="877">
        <v>0</v>
      </c>
      <c r="U12" s="938">
        <f t="shared" si="2"/>
        <v>7</v>
      </c>
      <c r="V12" s="877">
        <v>0</v>
      </c>
      <c r="W12" s="938">
        <v>7</v>
      </c>
      <c r="X12" s="877"/>
      <c r="Y12" s="877"/>
      <c r="Z12" s="877"/>
      <c r="AA12" s="877"/>
      <c r="AB12" s="877"/>
      <c r="AC12" s="877"/>
      <c r="AD12" s="877"/>
      <c r="AE12" s="877"/>
      <c r="AF12" s="323">
        <f t="shared" si="3"/>
        <v>22</v>
      </c>
      <c r="AG12" s="323">
        <f t="shared" si="4"/>
        <v>81</v>
      </c>
      <c r="AH12" s="323">
        <f t="shared" si="5"/>
        <v>0</v>
      </c>
      <c r="AI12" s="323">
        <f t="shared" si="6"/>
        <v>0</v>
      </c>
      <c r="AJ12" s="944">
        <f t="shared" si="6"/>
        <v>0</v>
      </c>
      <c r="AK12" s="323">
        <f t="shared" ref="AK12:AK29" si="28">ROUND(O12*$BB$3,0)</f>
        <v>0</v>
      </c>
      <c r="AL12" s="323">
        <f t="shared" si="7"/>
        <v>1</v>
      </c>
      <c r="AM12" s="323">
        <f t="shared" si="8"/>
        <v>0</v>
      </c>
      <c r="AN12" s="323">
        <f t="shared" si="9"/>
        <v>0</v>
      </c>
      <c r="AO12" s="323">
        <f t="shared" si="10"/>
        <v>0</v>
      </c>
      <c r="AP12" s="323">
        <f t="shared" si="11"/>
        <v>0</v>
      </c>
      <c r="AQ12" s="323">
        <f t="shared" si="12"/>
        <v>4</v>
      </c>
      <c r="AR12" s="323">
        <f t="shared" si="13"/>
        <v>0</v>
      </c>
      <c r="AS12" s="323">
        <f t="shared" si="14"/>
        <v>4</v>
      </c>
      <c r="AT12" s="323">
        <f t="shared" si="15"/>
        <v>0</v>
      </c>
      <c r="AU12" s="323">
        <f t="shared" si="16"/>
        <v>0</v>
      </c>
      <c r="AV12" s="323">
        <f t="shared" si="17"/>
        <v>0</v>
      </c>
      <c r="AW12" s="323">
        <f t="shared" si="18"/>
        <v>0</v>
      </c>
      <c r="AX12" s="323">
        <f t="shared" si="19"/>
        <v>0</v>
      </c>
      <c r="AY12" s="323">
        <f t="shared" si="20"/>
        <v>0</v>
      </c>
      <c r="AZ12" s="323">
        <f t="shared" si="21"/>
        <v>0</v>
      </c>
      <c r="BA12" s="323">
        <f t="shared" si="22"/>
        <v>0</v>
      </c>
      <c r="BB12" s="895">
        <f t="shared" si="23"/>
        <v>170</v>
      </c>
      <c r="BC12" s="945">
        <f t="shared" si="24"/>
        <v>170</v>
      </c>
      <c r="BD12" s="404">
        <f t="shared" si="25"/>
        <v>0</v>
      </c>
      <c r="BE12" s="404"/>
    </row>
    <row r="13" spans="1:57" ht="12.75" customHeight="1" x14ac:dyDescent="0.2">
      <c r="A13" s="937" t="s">
        <v>364</v>
      </c>
      <c r="B13" s="901">
        <v>50</v>
      </c>
      <c r="C13" s="901">
        <v>286</v>
      </c>
      <c r="D13" s="901">
        <v>0</v>
      </c>
      <c r="E13" s="901">
        <v>0</v>
      </c>
      <c r="F13" s="903">
        <v>0</v>
      </c>
      <c r="G13" s="901">
        <v>0</v>
      </c>
      <c r="H13" s="901">
        <v>25</v>
      </c>
      <c r="I13" s="901">
        <v>0</v>
      </c>
      <c r="J13" s="902">
        <v>50</v>
      </c>
      <c r="K13" s="902">
        <v>275</v>
      </c>
      <c r="L13" s="902">
        <v>0</v>
      </c>
      <c r="M13" s="902">
        <v>0</v>
      </c>
      <c r="N13" s="904">
        <v>0</v>
      </c>
      <c r="O13" s="902">
        <v>0</v>
      </c>
      <c r="P13" s="902">
        <v>9</v>
      </c>
      <c r="Q13" s="902">
        <v>0</v>
      </c>
      <c r="R13" s="902">
        <v>4</v>
      </c>
      <c r="S13" s="902">
        <v>0</v>
      </c>
      <c r="T13" s="902">
        <f t="shared" si="0"/>
        <v>0</v>
      </c>
      <c r="U13" s="938">
        <f>Y13+AA13+AC13+AE13+W13</f>
        <v>23</v>
      </c>
      <c r="V13" s="902">
        <f>G13</f>
        <v>0</v>
      </c>
      <c r="W13" s="938">
        <v>23</v>
      </c>
      <c r="X13" s="902"/>
      <c r="Y13" s="902"/>
      <c r="Z13" s="902"/>
      <c r="AA13" s="902"/>
      <c r="AB13" s="902"/>
      <c r="AC13" s="902"/>
      <c r="AD13" s="902"/>
      <c r="AE13" s="902"/>
      <c r="AF13" s="323">
        <f t="shared" si="3"/>
        <v>32</v>
      </c>
      <c r="AG13" s="323">
        <f t="shared" si="4"/>
        <v>176</v>
      </c>
      <c r="AH13" s="323">
        <f t="shared" si="5"/>
        <v>0</v>
      </c>
      <c r="AI13" s="323">
        <f t="shared" si="6"/>
        <v>0</v>
      </c>
      <c r="AJ13" s="944">
        <f t="shared" si="6"/>
        <v>0</v>
      </c>
      <c r="AK13" s="323">
        <f t="shared" si="28"/>
        <v>0</v>
      </c>
      <c r="AL13" s="323">
        <f t="shared" si="7"/>
        <v>6</v>
      </c>
      <c r="AM13" s="323">
        <f t="shared" si="8"/>
        <v>0</v>
      </c>
      <c r="AN13" s="323">
        <f t="shared" si="9"/>
        <v>3</v>
      </c>
      <c r="AO13" s="323">
        <f t="shared" si="10"/>
        <v>0</v>
      </c>
      <c r="AP13" s="323">
        <f t="shared" si="11"/>
        <v>0</v>
      </c>
      <c r="AQ13" s="323">
        <f t="shared" si="12"/>
        <v>15</v>
      </c>
      <c r="AR13" s="323">
        <f t="shared" si="13"/>
        <v>0</v>
      </c>
      <c r="AS13" s="323">
        <f t="shared" si="14"/>
        <v>15</v>
      </c>
      <c r="AT13" s="323">
        <f t="shared" si="15"/>
        <v>0</v>
      </c>
      <c r="AU13" s="323">
        <f t="shared" si="16"/>
        <v>0</v>
      </c>
      <c r="AV13" s="323">
        <f t="shared" si="17"/>
        <v>0</v>
      </c>
      <c r="AW13" s="323">
        <f t="shared" si="18"/>
        <v>0</v>
      </c>
      <c r="AX13" s="323">
        <f t="shared" si="19"/>
        <v>0</v>
      </c>
      <c r="AY13" s="323">
        <f t="shared" si="20"/>
        <v>0</v>
      </c>
      <c r="AZ13" s="323">
        <f t="shared" si="21"/>
        <v>0</v>
      </c>
      <c r="BA13" s="323">
        <f t="shared" si="22"/>
        <v>0</v>
      </c>
      <c r="BB13" s="895">
        <f t="shared" si="23"/>
        <v>361</v>
      </c>
      <c r="BC13" s="945">
        <f t="shared" si="24"/>
        <v>361</v>
      </c>
      <c r="BD13" s="404">
        <f t="shared" si="25"/>
        <v>0</v>
      </c>
      <c r="BE13" s="404"/>
    </row>
    <row r="14" spans="1:57" ht="25.5" x14ac:dyDescent="0.2">
      <c r="A14" s="946" t="s">
        <v>368</v>
      </c>
      <c r="B14" s="933">
        <v>20</v>
      </c>
      <c r="C14" s="933">
        <v>85</v>
      </c>
      <c r="D14" s="586">
        <v>0</v>
      </c>
      <c r="E14" s="586">
        <v>0</v>
      </c>
      <c r="F14" s="903">
        <v>0</v>
      </c>
      <c r="G14" s="586">
        <v>0</v>
      </c>
      <c r="H14" s="586">
        <v>2</v>
      </c>
      <c r="I14" s="586">
        <v>0</v>
      </c>
      <c r="J14" s="234">
        <v>20</v>
      </c>
      <c r="K14" s="234">
        <v>79</v>
      </c>
      <c r="L14" s="234">
        <v>0</v>
      </c>
      <c r="M14" s="234">
        <v>0</v>
      </c>
      <c r="N14" s="904">
        <v>0</v>
      </c>
      <c r="O14" s="234">
        <v>0</v>
      </c>
      <c r="P14" s="234">
        <v>4</v>
      </c>
      <c r="Q14" s="234">
        <v>0</v>
      </c>
      <c r="R14" s="234">
        <v>2</v>
      </c>
      <c r="S14" s="234">
        <v>0</v>
      </c>
      <c r="T14" s="950">
        <f t="shared" si="0"/>
        <v>0</v>
      </c>
      <c r="U14" s="234">
        <f>Y14+AA14+AC14+AE14+W14</f>
        <v>2</v>
      </c>
      <c r="V14" s="234">
        <f>G14</f>
        <v>0</v>
      </c>
      <c r="W14" s="234">
        <f t="shared" si="27"/>
        <v>2</v>
      </c>
      <c r="X14" s="234"/>
      <c r="Y14" s="234"/>
      <c r="Z14" s="234"/>
      <c r="AA14" s="234"/>
      <c r="AB14" s="234"/>
      <c r="AC14" s="234"/>
      <c r="AD14" s="234"/>
      <c r="AE14" s="234"/>
      <c r="AF14" s="323">
        <f t="shared" si="3"/>
        <v>13</v>
      </c>
      <c r="AG14" s="323">
        <f t="shared" si="4"/>
        <v>51</v>
      </c>
      <c r="AH14" s="323">
        <f t="shared" si="5"/>
        <v>0</v>
      </c>
      <c r="AI14" s="323">
        <f t="shared" si="6"/>
        <v>0</v>
      </c>
      <c r="AJ14" s="944">
        <f t="shared" si="6"/>
        <v>0</v>
      </c>
      <c r="AK14" s="323">
        <f t="shared" si="28"/>
        <v>0</v>
      </c>
      <c r="AL14" s="323">
        <f t="shared" si="7"/>
        <v>3</v>
      </c>
      <c r="AM14" s="323">
        <f t="shared" si="8"/>
        <v>0</v>
      </c>
      <c r="AN14" s="323">
        <f t="shared" si="9"/>
        <v>1</v>
      </c>
      <c r="AO14" s="323">
        <f t="shared" si="10"/>
        <v>0</v>
      </c>
      <c r="AP14" s="323">
        <f t="shared" si="11"/>
        <v>0</v>
      </c>
      <c r="AQ14" s="323">
        <f t="shared" si="12"/>
        <v>1</v>
      </c>
      <c r="AR14" s="323">
        <f t="shared" si="13"/>
        <v>0</v>
      </c>
      <c r="AS14" s="323">
        <f t="shared" si="14"/>
        <v>1</v>
      </c>
      <c r="AT14" s="323">
        <f t="shared" si="15"/>
        <v>0</v>
      </c>
      <c r="AU14" s="323">
        <f t="shared" si="16"/>
        <v>0</v>
      </c>
      <c r="AV14" s="323">
        <f t="shared" si="17"/>
        <v>0</v>
      </c>
      <c r="AW14" s="323">
        <f t="shared" si="18"/>
        <v>0</v>
      </c>
      <c r="AX14" s="323">
        <f t="shared" si="19"/>
        <v>0</v>
      </c>
      <c r="AY14" s="323">
        <f t="shared" si="20"/>
        <v>0</v>
      </c>
      <c r="AZ14" s="323">
        <f t="shared" si="21"/>
        <v>0</v>
      </c>
      <c r="BA14" s="323">
        <f t="shared" si="22"/>
        <v>0</v>
      </c>
      <c r="BB14" s="895">
        <f t="shared" si="23"/>
        <v>107</v>
      </c>
      <c r="BC14" s="945">
        <f t="shared" si="24"/>
        <v>107</v>
      </c>
      <c r="BD14" s="404">
        <f t="shared" si="25"/>
        <v>0</v>
      </c>
      <c r="BE14" s="404"/>
    </row>
    <row r="15" spans="1:57" x14ac:dyDescent="0.2">
      <c r="A15" s="913" t="s">
        <v>670</v>
      </c>
      <c r="B15" s="949">
        <v>8</v>
      </c>
      <c r="C15" s="949">
        <v>53</v>
      </c>
      <c r="D15" s="586">
        <v>0</v>
      </c>
      <c r="E15" s="586">
        <v>0</v>
      </c>
      <c r="F15" s="903">
        <v>0</v>
      </c>
      <c r="G15" s="578">
        <v>0</v>
      </c>
      <c r="H15" s="586">
        <v>0</v>
      </c>
      <c r="I15" s="586">
        <v>0</v>
      </c>
      <c r="J15" s="234">
        <v>6</v>
      </c>
      <c r="K15" s="234">
        <v>47</v>
      </c>
      <c r="L15" s="234">
        <v>0</v>
      </c>
      <c r="M15" s="234">
        <v>0</v>
      </c>
      <c r="N15" s="904">
        <v>0</v>
      </c>
      <c r="O15" s="234">
        <v>0</v>
      </c>
      <c r="P15" s="234">
        <v>1</v>
      </c>
      <c r="Q15" s="234">
        <v>0</v>
      </c>
      <c r="R15" s="234">
        <v>0</v>
      </c>
      <c r="S15" s="234">
        <v>0</v>
      </c>
      <c r="T15" s="962">
        <f>X15+Z15+AB15+AD15+V15</f>
        <v>2</v>
      </c>
      <c r="U15" s="234">
        <f>Y15+AA15+AC15+AE15+W15</f>
        <v>5</v>
      </c>
      <c r="V15" s="930">
        <f t="shared" ref="V15:V22" si="29">G15</f>
        <v>0</v>
      </c>
      <c r="W15" s="868">
        <f t="shared" si="27"/>
        <v>0</v>
      </c>
      <c r="X15" s="868">
        <v>2</v>
      </c>
      <c r="Y15" s="868">
        <v>2</v>
      </c>
      <c r="Z15" s="868">
        <v>0</v>
      </c>
      <c r="AA15" s="868">
        <v>1</v>
      </c>
      <c r="AB15" s="868">
        <v>0</v>
      </c>
      <c r="AC15" s="868">
        <v>2</v>
      </c>
      <c r="AD15" s="868">
        <v>0</v>
      </c>
      <c r="AE15" s="868">
        <v>0</v>
      </c>
      <c r="AF15" s="323">
        <f t="shared" si="3"/>
        <v>4</v>
      </c>
      <c r="AG15" s="323">
        <f t="shared" si="4"/>
        <v>30</v>
      </c>
      <c r="AH15" s="323">
        <f t="shared" si="5"/>
        <v>0</v>
      </c>
      <c r="AI15" s="323">
        <f t="shared" si="6"/>
        <v>0</v>
      </c>
      <c r="AJ15" s="944">
        <f t="shared" si="6"/>
        <v>0</v>
      </c>
      <c r="AK15" s="323">
        <f t="shared" si="28"/>
        <v>0</v>
      </c>
      <c r="AL15" s="323">
        <f t="shared" si="7"/>
        <v>1</v>
      </c>
      <c r="AM15" s="323">
        <f t="shared" si="8"/>
        <v>0</v>
      </c>
      <c r="AN15" s="323">
        <f t="shared" si="9"/>
        <v>0</v>
      </c>
      <c r="AO15" s="323">
        <f t="shared" si="10"/>
        <v>0</v>
      </c>
      <c r="AP15" s="323">
        <f t="shared" si="11"/>
        <v>1</v>
      </c>
      <c r="AQ15" s="323">
        <f t="shared" si="12"/>
        <v>3</v>
      </c>
      <c r="AR15" s="323">
        <f t="shared" si="13"/>
        <v>0</v>
      </c>
      <c r="AS15" s="323">
        <f t="shared" si="14"/>
        <v>0</v>
      </c>
      <c r="AT15" s="323">
        <f t="shared" si="15"/>
        <v>1</v>
      </c>
      <c r="AU15" s="323">
        <f t="shared" si="16"/>
        <v>1</v>
      </c>
      <c r="AV15" s="323">
        <f t="shared" si="17"/>
        <v>0</v>
      </c>
      <c r="AW15" s="323">
        <f t="shared" si="18"/>
        <v>1</v>
      </c>
      <c r="AX15" s="323">
        <f t="shared" si="19"/>
        <v>0</v>
      </c>
      <c r="AY15" s="323">
        <f t="shared" si="20"/>
        <v>1</v>
      </c>
      <c r="AZ15" s="323">
        <f t="shared" si="21"/>
        <v>0</v>
      </c>
      <c r="BA15" s="323">
        <f t="shared" si="22"/>
        <v>0</v>
      </c>
      <c r="BB15" s="895">
        <f t="shared" si="23"/>
        <v>61</v>
      </c>
      <c r="BC15" s="945">
        <f t="shared" si="24"/>
        <v>61</v>
      </c>
      <c r="BD15" s="404">
        <f t="shared" si="25"/>
        <v>0</v>
      </c>
      <c r="BE15" s="404"/>
    </row>
    <row r="16" spans="1:57" x14ac:dyDescent="0.2">
      <c r="A16" s="913" t="s">
        <v>671</v>
      </c>
      <c r="B16" s="878">
        <v>13</v>
      </c>
      <c r="C16" s="878">
        <v>40</v>
      </c>
      <c r="D16" s="878">
        <v>0</v>
      </c>
      <c r="E16" s="878">
        <v>0</v>
      </c>
      <c r="F16" s="903">
        <v>0</v>
      </c>
      <c r="G16" s="880">
        <v>0</v>
      </c>
      <c r="H16" s="878">
        <v>0</v>
      </c>
      <c r="I16" s="878">
        <v>0</v>
      </c>
      <c r="J16" s="879">
        <v>13</v>
      </c>
      <c r="K16" s="879">
        <v>37</v>
      </c>
      <c r="L16" s="879">
        <v>0</v>
      </c>
      <c r="M16" s="879">
        <v>0</v>
      </c>
      <c r="N16" s="904">
        <v>0</v>
      </c>
      <c r="O16" s="879">
        <v>0</v>
      </c>
      <c r="P16" s="879">
        <v>0</v>
      </c>
      <c r="Q16" s="879">
        <v>0</v>
      </c>
      <c r="R16" s="879">
        <v>1</v>
      </c>
      <c r="S16" s="879">
        <v>0</v>
      </c>
      <c r="T16" s="950">
        <f t="shared" si="0"/>
        <v>0</v>
      </c>
      <c r="U16" s="879">
        <v>2</v>
      </c>
      <c r="V16" s="930">
        <f t="shared" si="29"/>
        <v>0</v>
      </c>
      <c r="W16" s="881">
        <f t="shared" si="27"/>
        <v>0</v>
      </c>
      <c r="X16" s="881">
        <v>0</v>
      </c>
      <c r="Y16" s="881">
        <v>0</v>
      </c>
      <c r="Z16" s="881">
        <v>0</v>
      </c>
      <c r="AA16" s="881">
        <v>1</v>
      </c>
      <c r="AB16" s="881">
        <v>0</v>
      </c>
      <c r="AC16" s="881">
        <v>1</v>
      </c>
      <c r="AD16" s="881">
        <v>0</v>
      </c>
      <c r="AE16" s="881">
        <v>0</v>
      </c>
      <c r="AF16" s="323">
        <f t="shared" si="3"/>
        <v>8</v>
      </c>
      <c r="AG16" s="323">
        <f t="shared" si="4"/>
        <v>24</v>
      </c>
      <c r="AH16" s="323">
        <f t="shared" si="5"/>
        <v>0</v>
      </c>
      <c r="AI16" s="323">
        <f t="shared" si="6"/>
        <v>0</v>
      </c>
      <c r="AJ16" s="944">
        <f t="shared" si="6"/>
        <v>0</v>
      </c>
      <c r="AK16" s="323">
        <f t="shared" si="28"/>
        <v>0</v>
      </c>
      <c r="AL16" s="323">
        <f t="shared" si="7"/>
        <v>0</v>
      </c>
      <c r="AM16" s="323">
        <f t="shared" si="8"/>
        <v>0</v>
      </c>
      <c r="AN16" s="323">
        <f t="shared" si="9"/>
        <v>1</v>
      </c>
      <c r="AO16" s="323">
        <f t="shared" si="10"/>
        <v>0</v>
      </c>
      <c r="AP16" s="323">
        <f t="shared" si="11"/>
        <v>0</v>
      </c>
      <c r="AQ16" s="323">
        <f t="shared" si="12"/>
        <v>1</v>
      </c>
      <c r="AR16" s="323">
        <f t="shared" si="13"/>
        <v>0</v>
      </c>
      <c r="AS16" s="323">
        <f t="shared" si="14"/>
        <v>0</v>
      </c>
      <c r="AT16" s="323">
        <f t="shared" si="15"/>
        <v>0</v>
      </c>
      <c r="AU16" s="323">
        <f t="shared" si="16"/>
        <v>0</v>
      </c>
      <c r="AV16" s="323">
        <f t="shared" si="17"/>
        <v>0</v>
      </c>
      <c r="AW16" s="323">
        <f t="shared" si="18"/>
        <v>1</v>
      </c>
      <c r="AX16" s="323">
        <f t="shared" si="19"/>
        <v>0</v>
      </c>
      <c r="AY16" s="323">
        <f t="shared" si="20"/>
        <v>1</v>
      </c>
      <c r="AZ16" s="323">
        <f t="shared" si="21"/>
        <v>0</v>
      </c>
      <c r="BA16" s="323">
        <f t="shared" si="22"/>
        <v>0</v>
      </c>
      <c r="BB16" s="895">
        <f t="shared" si="23"/>
        <v>53</v>
      </c>
      <c r="BC16" s="945">
        <f t="shared" si="24"/>
        <v>53</v>
      </c>
      <c r="BD16" s="404">
        <f t="shared" si="25"/>
        <v>0</v>
      </c>
      <c r="BE16" s="404"/>
    </row>
    <row r="17" spans="1:57" ht="25.5" x14ac:dyDescent="0.2">
      <c r="A17" s="937" t="s">
        <v>672</v>
      </c>
      <c r="B17" s="903">
        <v>26</v>
      </c>
      <c r="C17" s="903">
        <f>139+3</f>
        <v>142</v>
      </c>
      <c r="D17" s="903">
        <v>0</v>
      </c>
      <c r="E17" s="903">
        <v>0</v>
      </c>
      <c r="F17" s="903">
        <v>0</v>
      </c>
      <c r="G17" s="905">
        <v>0</v>
      </c>
      <c r="H17" s="903">
        <v>0</v>
      </c>
      <c r="I17" s="903">
        <v>0</v>
      </c>
      <c r="J17" s="904">
        <v>23</v>
      </c>
      <c r="K17" s="904">
        <v>120</v>
      </c>
      <c r="L17" s="904">
        <v>0</v>
      </c>
      <c r="M17" s="904">
        <v>0</v>
      </c>
      <c r="N17" s="904">
        <v>0</v>
      </c>
      <c r="O17" s="904">
        <v>0</v>
      </c>
      <c r="P17" s="904">
        <v>2</v>
      </c>
      <c r="Q17" s="904">
        <v>0</v>
      </c>
      <c r="R17" s="904">
        <v>0</v>
      </c>
      <c r="S17" s="904">
        <v>0</v>
      </c>
      <c r="T17" s="904">
        <f>X17+Z17+AB17+AD17+V17</f>
        <v>3</v>
      </c>
      <c r="U17" s="904">
        <f>Y17+AA17+AC17+AE17+W17</f>
        <v>20</v>
      </c>
      <c r="V17" s="930">
        <f t="shared" si="29"/>
        <v>0</v>
      </c>
      <c r="W17" s="930">
        <v>2</v>
      </c>
      <c r="X17" s="906">
        <v>1</v>
      </c>
      <c r="Y17" s="906">
        <v>9</v>
      </c>
      <c r="Z17" s="906">
        <v>1</v>
      </c>
      <c r="AA17" s="906">
        <v>5</v>
      </c>
      <c r="AB17" s="906">
        <v>1</v>
      </c>
      <c r="AC17" s="906">
        <v>3</v>
      </c>
      <c r="AD17" s="906">
        <v>0</v>
      </c>
      <c r="AE17" s="906">
        <v>1</v>
      </c>
      <c r="AF17" s="323">
        <f t="shared" si="3"/>
        <v>15</v>
      </c>
      <c r="AG17" s="323">
        <f t="shared" si="4"/>
        <v>77</v>
      </c>
      <c r="AH17" s="323">
        <f t="shared" si="5"/>
        <v>0</v>
      </c>
      <c r="AI17" s="323">
        <f t="shared" si="6"/>
        <v>0</v>
      </c>
      <c r="AJ17" s="944">
        <f t="shared" si="6"/>
        <v>0</v>
      </c>
      <c r="AK17" s="323">
        <f t="shared" si="28"/>
        <v>0</v>
      </c>
      <c r="AL17" s="323">
        <f t="shared" si="7"/>
        <v>1</v>
      </c>
      <c r="AM17" s="323">
        <f t="shared" si="8"/>
        <v>0</v>
      </c>
      <c r="AN17" s="323">
        <f t="shared" si="9"/>
        <v>0</v>
      </c>
      <c r="AO17" s="323">
        <f t="shared" si="10"/>
        <v>0</v>
      </c>
      <c r="AP17" s="323">
        <f t="shared" si="11"/>
        <v>2</v>
      </c>
      <c r="AQ17" s="323">
        <f t="shared" si="12"/>
        <v>13</v>
      </c>
      <c r="AR17" s="323">
        <f t="shared" si="13"/>
        <v>0</v>
      </c>
      <c r="AS17" s="323">
        <f t="shared" si="14"/>
        <v>1</v>
      </c>
      <c r="AT17" s="323">
        <f t="shared" si="15"/>
        <v>1</v>
      </c>
      <c r="AU17" s="323">
        <f t="shared" si="16"/>
        <v>6</v>
      </c>
      <c r="AV17" s="323">
        <f t="shared" si="17"/>
        <v>1</v>
      </c>
      <c r="AW17" s="323">
        <f t="shared" si="18"/>
        <v>3</v>
      </c>
      <c r="AX17" s="323">
        <f t="shared" si="19"/>
        <v>1</v>
      </c>
      <c r="AY17" s="323">
        <f t="shared" si="20"/>
        <v>2</v>
      </c>
      <c r="AZ17" s="323">
        <f t="shared" si="21"/>
        <v>0</v>
      </c>
      <c r="BA17" s="323">
        <f t="shared" si="22"/>
        <v>1</v>
      </c>
      <c r="BB17" s="895">
        <f t="shared" si="23"/>
        <v>168</v>
      </c>
      <c r="BC17" s="945">
        <f t="shared" si="24"/>
        <v>168</v>
      </c>
      <c r="BD17" s="404">
        <f t="shared" si="25"/>
        <v>0</v>
      </c>
      <c r="BE17" s="404"/>
    </row>
    <row r="18" spans="1:57" x14ac:dyDescent="0.2">
      <c r="A18" s="937" t="s">
        <v>673</v>
      </c>
      <c r="B18" s="914">
        <v>30</v>
      </c>
      <c r="C18" s="914">
        <v>136</v>
      </c>
      <c r="D18" s="903">
        <v>0</v>
      </c>
      <c r="E18" s="903">
        <v>0</v>
      </c>
      <c r="F18" s="903">
        <v>0</v>
      </c>
      <c r="G18" s="905">
        <v>0</v>
      </c>
      <c r="H18" s="903">
        <v>0</v>
      </c>
      <c r="I18" s="586">
        <v>0</v>
      </c>
      <c r="J18" s="915">
        <v>33</v>
      </c>
      <c r="K18" s="915">
        <v>125</v>
      </c>
      <c r="L18" s="234">
        <v>0</v>
      </c>
      <c r="M18" s="234">
        <v>0</v>
      </c>
      <c r="N18" s="904">
        <v>0</v>
      </c>
      <c r="O18" s="916">
        <v>0</v>
      </c>
      <c r="P18" s="916">
        <v>1</v>
      </c>
      <c r="Q18" s="916">
        <v>0</v>
      </c>
      <c r="R18" s="916">
        <v>0</v>
      </c>
      <c r="S18" s="916">
        <v>0</v>
      </c>
      <c r="T18" s="950">
        <f t="shared" ref="T18" si="30">X18+Z18+AB18+AD18+V18</f>
        <v>0</v>
      </c>
      <c r="U18" s="950">
        <f t="shared" ref="U18:U26" si="31">Y18+AA18+AC18+AE18+W18</f>
        <v>7</v>
      </c>
      <c r="V18" s="930">
        <f t="shared" si="29"/>
        <v>0</v>
      </c>
      <c r="W18" s="930">
        <v>0</v>
      </c>
      <c r="X18" s="917">
        <v>0</v>
      </c>
      <c r="Y18" s="917">
        <v>5</v>
      </c>
      <c r="Z18" s="917">
        <v>0</v>
      </c>
      <c r="AA18" s="917">
        <v>1</v>
      </c>
      <c r="AB18" s="917">
        <v>0</v>
      </c>
      <c r="AC18" s="917">
        <v>1</v>
      </c>
      <c r="AD18" s="917">
        <v>0</v>
      </c>
      <c r="AE18" s="917">
        <v>0</v>
      </c>
      <c r="AF18" s="323">
        <f t="shared" si="3"/>
        <v>21</v>
      </c>
      <c r="AG18" s="323">
        <f t="shared" si="4"/>
        <v>80</v>
      </c>
      <c r="AH18" s="323">
        <f t="shared" si="5"/>
        <v>0</v>
      </c>
      <c r="AI18" s="323">
        <f t="shared" si="6"/>
        <v>0</v>
      </c>
      <c r="AJ18" s="944">
        <f t="shared" si="6"/>
        <v>0</v>
      </c>
      <c r="AK18" s="323">
        <f t="shared" si="28"/>
        <v>0</v>
      </c>
      <c r="AL18" s="323">
        <f t="shared" si="7"/>
        <v>1</v>
      </c>
      <c r="AM18" s="323">
        <f t="shared" si="8"/>
        <v>0</v>
      </c>
      <c r="AN18" s="323">
        <f t="shared" si="9"/>
        <v>0</v>
      </c>
      <c r="AO18" s="323">
        <f t="shared" si="10"/>
        <v>0</v>
      </c>
      <c r="AP18" s="323">
        <f t="shared" si="11"/>
        <v>0</v>
      </c>
      <c r="AQ18" s="323">
        <f t="shared" si="12"/>
        <v>4</v>
      </c>
      <c r="AR18" s="323">
        <f t="shared" si="13"/>
        <v>0</v>
      </c>
      <c r="AS18" s="323">
        <f t="shared" si="14"/>
        <v>0</v>
      </c>
      <c r="AT18" s="323">
        <f t="shared" si="15"/>
        <v>0</v>
      </c>
      <c r="AU18" s="323">
        <f t="shared" si="16"/>
        <v>3</v>
      </c>
      <c r="AV18" s="323">
        <f t="shared" si="17"/>
        <v>0</v>
      </c>
      <c r="AW18" s="323">
        <f t="shared" si="18"/>
        <v>1</v>
      </c>
      <c r="AX18" s="323">
        <f t="shared" si="19"/>
        <v>0</v>
      </c>
      <c r="AY18" s="323">
        <f t="shared" si="20"/>
        <v>1</v>
      </c>
      <c r="AZ18" s="323">
        <f t="shared" si="21"/>
        <v>0</v>
      </c>
      <c r="BA18" s="323">
        <f t="shared" si="22"/>
        <v>0</v>
      </c>
      <c r="BB18" s="895">
        <f t="shared" si="23"/>
        <v>166</v>
      </c>
      <c r="BC18" s="945">
        <f t="shared" si="24"/>
        <v>166</v>
      </c>
      <c r="BD18" s="404">
        <f t="shared" si="25"/>
        <v>0</v>
      </c>
      <c r="BE18" s="404"/>
    </row>
    <row r="19" spans="1:57" x14ac:dyDescent="0.2">
      <c r="A19" s="937" t="s">
        <v>674</v>
      </c>
      <c r="B19" s="918">
        <v>7</v>
      </c>
      <c r="C19" s="918">
        <v>56</v>
      </c>
      <c r="D19" s="586">
        <v>0</v>
      </c>
      <c r="E19" s="586">
        <v>0</v>
      </c>
      <c r="F19" s="903">
        <v>0</v>
      </c>
      <c r="G19" s="578">
        <v>0</v>
      </c>
      <c r="H19" s="919">
        <v>1</v>
      </c>
      <c r="I19" s="586">
        <v>0</v>
      </c>
      <c r="J19" s="920">
        <v>7</v>
      </c>
      <c r="K19" s="920">
        <v>50</v>
      </c>
      <c r="L19" s="234">
        <v>0</v>
      </c>
      <c r="M19" s="234">
        <v>0</v>
      </c>
      <c r="N19" s="904">
        <v>0</v>
      </c>
      <c r="O19" s="234">
        <v>0</v>
      </c>
      <c r="P19" s="234">
        <v>2</v>
      </c>
      <c r="Q19" s="234">
        <v>0</v>
      </c>
      <c r="R19" s="234">
        <v>0</v>
      </c>
      <c r="S19" s="234">
        <v>0</v>
      </c>
      <c r="T19" s="950">
        <f>X19+Z19+AB19+AD19+V19</f>
        <v>0</v>
      </c>
      <c r="U19" s="234">
        <f t="shared" si="31"/>
        <v>5</v>
      </c>
      <c r="V19" s="930">
        <f>G19</f>
        <v>0</v>
      </c>
      <c r="W19" s="930">
        <f t="shared" si="27"/>
        <v>1</v>
      </c>
      <c r="X19" s="921">
        <v>0</v>
      </c>
      <c r="Y19" s="921">
        <v>2</v>
      </c>
      <c r="Z19" s="921">
        <v>0</v>
      </c>
      <c r="AA19" s="921">
        <v>0</v>
      </c>
      <c r="AB19" s="921">
        <v>0</v>
      </c>
      <c r="AC19" s="921">
        <v>2</v>
      </c>
      <c r="AD19" s="921">
        <v>0</v>
      </c>
      <c r="AE19" s="921">
        <v>0</v>
      </c>
      <c r="AF19" s="323">
        <f t="shared" si="3"/>
        <v>4</v>
      </c>
      <c r="AG19" s="323">
        <f t="shared" si="4"/>
        <v>32</v>
      </c>
      <c r="AH19" s="323">
        <f t="shared" si="5"/>
        <v>0</v>
      </c>
      <c r="AI19" s="323">
        <f t="shared" si="6"/>
        <v>0</v>
      </c>
      <c r="AJ19" s="944">
        <f t="shared" si="6"/>
        <v>0</v>
      </c>
      <c r="AK19" s="323">
        <f t="shared" si="28"/>
        <v>0</v>
      </c>
      <c r="AL19" s="323">
        <f t="shared" si="7"/>
        <v>1</v>
      </c>
      <c r="AM19" s="323">
        <f t="shared" si="8"/>
        <v>0</v>
      </c>
      <c r="AN19" s="323">
        <f t="shared" si="9"/>
        <v>0</v>
      </c>
      <c r="AO19" s="323">
        <f t="shared" si="10"/>
        <v>0</v>
      </c>
      <c r="AP19" s="323">
        <f t="shared" si="11"/>
        <v>0</v>
      </c>
      <c r="AQ19" s="323">
        <f t="shared" si="12"/>
        <v>3</v>
      </c>
      <c r="AR19" s="323">
        <f t="shared" si="13"/>
        <v>0</v>
      </c>
      <c r="AS19" s="323">
        <f t="shared" si="14"/>
        <v>1</v>
      </c>
      <c r="AT19" s="323">
        <f t="shared" si="15"/>
        <v>0</v>
      </c>
      <c r="AU19" s="323">
        <f t="shared" si="16"/>
        <v>1</v>
      </c>
      <c r="AV19" s="323">
        <f t="shared" si="17"/>
        <v>0</v>
      </c>
      <c r="AW19" s="323">
        <f t="shared" si="18"/>
        <v>0</v>
      </c>
      <c r="AX19" s="323">
        <f t="shared" si="19"/>
        <v>0</v>
      </c>
      <c r="AY19" s="323">
        <f t="shared" si="20"/>
        <v>1</v>
      </c>
      <c r="AZ19" s="323">
        <f t="shared" si="21"/>
        <v>0</v>
      </c>
      <c r="BA19" s="323">
        <f t="shared" si="22"/>
        <v>0</v>
      </c>
      <c r="BB19" s="895">
        <f t="shared" si="23"/>
        <v>64</v>
      </c>
      <c r="BC19" s="945">
        <f t="shared" si="24"/>
        <v>64</v>
      </c>
      <c r="BD19" s="404">
        <f t="shared" si="25"/>
        <v>0</v>
      </c>
      <c r="BE19" s="404"/>
    </row>
    <row r="20" spans="1:57" x14ac:dyDescent="0.2">
      <c r="A20" s="937" t="s">
        <v>675</v>
      </c>
      <c r="B20" s="922">
        <v>14</v>
      </c>
      <c r="C20" s="922">
        <v>93</v>
      </c>
      <c r="D20" s="586">
        <v>0</v>
      </c>
      <c r="E20" s="586">
        <v>0</v>
      </c>
      <c r="F20" s="903">
        <v>0</v>
      </c>
      <c r="G20" s="578">
        <v>0</v>
      </c>
      <c r="H20" s="586">
        <v>1</v>
      </c>
      <c r="I20" s="923">
        <v>0</v>
      </c>
      <c r="J20" s="924">
        <v>17</v>
      </c>
      <c r="K20" s="924">
        <v>78</v>
      </c>
      <c r="L20" s="234">
        <v>0</v>
      </c>
      <c r="M20" s="234">
        <v>0</v>
      </c>
      <c r="N20" s="904">
        <v>0</v>
      </c>
      <c r="O20" s="234">
        <v>0</v>
      </c>
      <c r="P20" s="925">
        <v>7</v>
      </c>
      <c r="Q20" s="234">
        <v>0</v>
      </c>
      <c r="R20" s="234">
        <v>0</v>
      </c>
      <c r="S20" s="234">
        <v>0</v>
      </c>
      <c r="T20" s="950">
        <f t="shared" ref="T20:T22" si="32">X20+Z20+AB20+AD20+V20</f>
        <v>0</v>
      </c>
      <c r="U20" s="950">
        <f>Y20+AA20+AC20+AE20+W20</f>
        <v>6</v>
      </c>
      <c r="V20" s="930">
        <f t="shared" si="29"/>
        <v>0</v>
      </c>
      <c r="W20" s="930">
        <v>1</v>
      </c>
      <c r="X20" s="927">
        <v>0</v>
      </c>
      <c r="Y20" s="927">
        <v>2</v>
      </c>
      <c r="Z20" s="927">
        <v>0</v>
      </c>
      <c r="AA20" s="927">
        <v>1</v>
      </c>
      <c r="AB20" s="927">
        <v>0</v>
      </c>
      <c r="AC20" s="927">
        <v>1</v>
      </c>
      <c r="AD20" s="927">
        <v>0</v>
      </c>
      <c r="AE20" s="927">
        <v>1</v>
      </c>
      <c r="AF20" s="323">
        <f t="shared" si="3"/>
        <v>11</v>
      </c>
      <c r="AG20" s="323">
        <f t="shared" si="4"/>
        <v>50</v>
      </c>
      <c r="AH20" s="323">
        <f t="shared" si="5"/>
        <v>0</v>
      </c>
      <c r="AI20" s="323">
        <f t="shared" si="6"/>
        <v>0</v>
      </c>
      <c r="AJ20" s="944">
        <f t="shared" si="6"/>
        <v>0</v>
      </c>
      <c r="AK20" s="323">
        <f t="shared" si="28"/>
        <v>0</v>
      </c>
      <c r="AL20" s="323">
        <f t="shared" si="7"/>
        <v>4</v>
      </c>
      <c r="AM20" s="323">
        <f t="shared" si="8"/>
        <v>0</v>
      </c>
      <c r="AN20" s="323">
        <f t="shared" si="9"/>
        <v>0</v>
      </c>
      <c r="AO20" s="323">
        <f t="shared" si="10"/>
        <v>0</v>
      </c>
      <c r="AP20" s="323">
        <f t="shared" si="11"/>
        <v>0</v>
      </c>
      <c r="AQ20" s="323">
        <f t="shared" si="12"/>
        <v>4</v>
      </c>
      <c r="AR20" s="323">
        <f t="shared" si="13"/>
        <v>0</v>
      </c>
      <c r="AS20" s="323">
        <f t="shared" si="14"/>
        <v>1</v>
      </c>
      <c r="AT20" s="323">
        <f t="shared" si="15"/>
        <v>0</v>
      </c>
      <c r="AU20" s="323">
        <f t="shared" si="16"/>
        <v>1</v>
      </c>
      <c r="AV20" s="323">
        <f t="shared" si="17"/>
        <v>0</v>
      </c>
      <c r="AW20" s="323">
        <f t="shared" si="18"/>
        <v>1</v>
      </c>
      <c r="AX20" s="323">
        <f t="shared" si="19"/>
        <v>0</v>
      </c>
      <c r="AY20" s="323">
        <f t="shared" si="20"/>
        <v>1</v>
      </c>
      <c r="AZ20" s="323">
        <f t="shared" si="21"/>
        <v>0</v>
      </c>
      <c r="BA20" s="323">
        <f t="shared" si="22"/>
        <v>1</v>
      </c>
      <c r="BB20" s="895">
        <f>SUM(B20:I20)</f>
        <v>108</v>
      </c>
      <c r="BC20" s="945">
        <f>J20+K20+L20+M20+O20+P20+Q20+R20+S20+T20+U20+N20</f>
        <v>108</v>
      </c>
      <c r="BD20" s="404">
        <f t="shared" si="25"/>
        <v>0</v>
      </c>
      <c r="BE20" s="404"/>
    </row>
    <row r="21" spans="1:57" s="940" customFormat="1" x14ac:dyDescent="0.2">
      <c r="A21" s="937" t="s">
        <v>681</v>
      </c>
      <c r="B21" s="949">
        <v>13</v>
      </c>
      <c r="C21" s="949">
        <v>67</v>
      </c>
      <c r="D21" s="949">
        <v>0</v>
      </c>
      <c r="E21" s="949">
        <v>0</v>
      </c>
      <c r="F21" s="949">
        <v>0</v>
      </c>
      <c r="G21" s="905">
        <v>0</v>
      </c>
      <c r="H21" s="949">
        <v>1</v>
      </c>
      <c r="I21" s="949">
        <v>0</v>
      </c>
      <c r="J21" s="950">
        <v>13</v>
      </c>
      <c r="K21" s="950">
        <v>62</v>
      </c>
      <c r="L21" s="950">
        <v>0</v>
      </c>
      <c r="M21" s="950">
        <v>0</v>
      </c>
      <c r="N21" s="950">
        <v>0</v>
      </c>
      <c r="O21" s="950">
        <v>0</v>
      </c>
      <c r="P21" s="950">
        <v>0</v>
      </c>
      <c r="Q21" s="950">
        <v>0</v>
      </c>
      <c r="R21" s="950">
        <v>0</v>
      </c>
      <c r="S21" s="950">
        <v>0</v>
      </c>
      <c r="T21" s="950">
        <f t="shared" si="32"/>
        <v>0</v>
      </c>
      <c r="U21" s="950">
        <f t="shared" si="31"/>
        <v>6</v>
      </c>
      <c r="V21" s="930">
        <f t="shared" si="29"/>
        <v>0</v>
      </c>
      <c r="W21" s="930">
        <v>1</v>
      </c>
      <c r="X21" s="930">
        <v>0</v>
      </c>
      <c r="Y21" s="930">
        <v>2</v>
      </c>
      <c r="Z21" s="930">
        <v>0</v>
      </c>
      <c r="AA21" s="930">
        <v>0</v>
      </c>
      <c r="AB21" s="930">
        <v>0</v>
      </c>
      <c r="AC21" s="930">
        <v>3</v>
      </c>
      <c r="AD21" s="930">
        <v>0</v>
      </c>
      <c r="AE21" s="930">
        <v>0</v>
      </c>
      <c r="AF21" s="944">
        <f t="shared" si="3"/>
        <v>8</v>
      </c>
      <c r="AG21" s="944">
        <f t="shared" si="4"/>
        <v>40</v>
      </c>
      <c r="AH21" s="944">
        <f t="shared" si="5"/>
        <v>0</v>
      </c>
      <c r="AI21" s="944">
        <f t="shared" si="6"/>
        <v>0</v>
      </c>
      <c r="AJ21" s="944">
        <f t="shared" si="6"/>
        <v>0</v>
      </c>
      <c r="AK21" s="944">
        <f t="shared" si="28"/>
        <v>0</v>
      </c>
      <c r="AL21" s="944">
        <f t="shared" si="7"/>
        <v>0</v>
      </c>
      <c r="AM21" s="944">
        <f t="shared" si="8"/>
        <v>0</v>
      </c>
      <c r="AN21" s="944">
        <f t="shared" si="9"/>
        <v>0</v>
      </c>
      <c r="AO21" s="944">
        <f t="shared" si="10"/>
        <v>0</v>
      </c>
      <c r="AP21" s="944">
        <f t="shared" si="11"/>
        <v>0</v>
      </c>
      <c r="AQ21" s="944">
        <f t="shared" si="12"/>
        <v>4</v>
      </c>
      <c r="AR21" s="944">
        <f t="shared" si="13"/>
        <v>0</v>
      </c>
      <c r="AS21" s="944">
        <f t="shared" si="14"/>
        <v>1</v>
      </c>
      <c r="AT21" s="944">
        <f t="shared" si="15"/>
        <v>0</v>
      </c>
      <c r="AU21" s="944">
        <f t="shared" si="16"/>
        <v>1</v>
      </c>
      <c r="AV21" s="944">
        <f t="shared" si="17"/>
        <v>0</v>
      </c>
      <c r="AW21" s="944">
        <f t="shared" si="18"/>
        <v>0</v>
      </c>
      <c r="AX21" s="944">
        <f t="shared" si="19"/>
        <v>0</v>
      </c>
      <c r="AY21" s="944">
        <f t="shared" si="20"/>
        <v>2</v>
      </c>
      <c r="AZ21" s="944">
        <f t="shared" si="21"/>
        <v>0</v>
      </c>
      <c r="BA21" s="944">
        <f t="shared" si="22"/>
        <v>0</v>
      </c>
      <c r="BB21" s="895">
        <f t="shared" si="23"/>
        <v>81</v>
      </c>
      <c r="BC21" s="945">
        <f t="shared" si="24"/>
        <v>81</v>
      </c>
      <c r="BD21" s="945"/>
      <c r="BE21" s="945"/>
    </row>
    <row r="22" spans="1:57" s="940" customFormat="1" x14ac:dyDescent="0.2">
      <c r="A22" s="937" t="s">
        <v>682</v>
      </c>
      <c r="B22" s="949">
        <v>8</v>
      </c>
      <c r="C22" s="949">
        <v>76</v>
      </c>
      <c r="D22" s="949">
        <v>0</v>
      </c>
      <c r="E22" s="949">
        <v>0</v>
      </c>
      <c r="F22" s="949">
        <v>0</v>
      </c>
      <c r="G22" s="905">
        <v>0</v>
      </c>
      <c r="H22" s="949">
        <v>2</v>
      </c>
      <c r="I22" s="949">
        <v>0</v>
      </c>
      <c r="J22" s="950">
        <v>14</v>
      </c>
      <c r="K22" s="950">
        <v>55</v>
      </c>
      <c r="L22" s="950">
        <v>0</v>
      </c>
      <c r="M22" s="950">
        <v>0</v>
      </c>
      <c r="N22" s="950">
        <v>0</v>
      </c>
      <c r="O22" s="950">
        <v>1</v>
      </c>
      <c r="P22" s="950">
        <v>6</v>
      </c>
      <c r="Q22" s="950">
        <v>0</v>
      </c>
      <c r="R22" s="950">
        <v>0</v>
      </c>
      <c r="S22" s="950">
        <v>0</v>
      </c>
      <c r="T22" s="950">
        <f t="shared" si="32"/>
        <v>0</v>
      </c>
      <c r="U22" s="950">
        <f t="shared" si="31"/>
        <v>10</v>
      </c>
      <c r="V22" s="930">
        <f t="shared" si="29"/>
        <v>0</v>
      </c>
      <c r="W22" s="930">
        <v>2</v>
      </c>
      <c r="X22" s="930">
        <v>0</v>
      </c>
      <c r="Y22" s="930">
        <v>6</v>
      </c>
      <c r="Z22" s="930">
        <v>0</v>
      </c>
      <c r="AA22" s="930">
        <v>0</v>
      </c>
      <c r="AB22" s="930">
        <v>0</v>
      </c>
      <c r="AC22" s="930">
        <v>2</v>
      </c>
      <c r="AD22" s="930">
        <v>0</v>
      </c>
      <c r="AE22" s="930">
        <v>0</v>
      </c>
      <c r="AF22" s="944">
        <f t="shared" si="3"/>
        <v>9</v>
      </c>
      <c r="AG22" s="944">
        <f t="shared" si="4"/>
        <v>35</v>
      </c>
      <c r="AH22" s="944">
        <f t="shared" si="5"/>
        <v>0</v>
      </c>
      <c r="AI22" s="944">
        <f t="shared" si="6"/>
        <v>0</v>
      </c>
      <c r="AJ22" s="944">
        <f t="shared" si="6"/>
        <v>0</v>
      </c>
      <c r="AK22" s="944">
        <f t="shared" si="28"/>
        <v>1</v>
      </c>
      <c r="AL22" s="944">
        <f t="shared" si="7"/>
        <v>4</v>
      </c>
      <c r="AM22" s="944">
        <f t="shared" si="8"/>
        <v>0</v>
      </c>
      <c r="AN22" s="944">
        <f t="shared" si="9"/>
        <v>0</v>
      </c>
      <c r="AO22" s="944">
        <f t="shared" si="10"/>
        <v>0</v>
      </c>
      <c r="AP22" s="944">
        <f t="shared" si="11"/>
        <v>0</v>
      </c>
      <c r="AQ22" s="944">
        <f t="shared" si="12"/>
        <v>6</v>
      </c>
      <c r="AR22" s="944">
        <f t="shared" si="13"/>
        <v>0</v>
      </c>
      <c r="AS22" s="944">
        <f t="shared" si="14"/>
        <v>1</v>
      </c>
      <c r="AT22" s="944">
        <f t="shared" si="15"/>
        <v>0</v>
      </c>
      <c r="AU22" s="944">
        <f t="shared" si="16"/>
        <v>4</v>
      </c>
      <c r="AV22" s="944">
        <f t="shared" si="17"/>
        <v>0</v>
      </c>
      <c r="AW22" s="944">
        <f t="shared" si="18"/>
        <v>0</v>
      </c>
      <c r="AX22" s="944">
        <f t="shared" si="19"/>
        <v>0</v>
      </c>
      <c r="AY22" s="944">
        <f t="shared" si="20"/>
        <v>1</v>
      </c>
      <c r="AZ22" s="944">
        <f t="shared" si="21"/>
        <v>0</v>
      </c>
      <c r="BA22" s="944">
        <f t="shared" si="22"/>
        <v>0</v>
      </c>
      <c r="BB22" s="895">
        <f t="shared" si="23"/>
        <v>86</v>
      </c>
      <c r="BC22" s="945">
        <f t="shared" si="24"/>
        <v>86</v>
      </c>
      <c r="BD22" s="945"/>
      <c r="BE22" s="945"/>
    </row>
    <row r="23" spans="1:57" x14ac:dyDescent="0.2">
      <c r="A23" s="937" t="s">
        <v>676</v>
      </c>
      <c r="B23" s="892">
        <v>54</v>
      </c>
      <c r="C23" s="892">
        <v>286</v>
      </c>
      <c r="D23" s="892">
        <v>0</v>
      </c>
      <c r="E23" s="892">
        <v>0</v>
      </c>
      <c r="F23" s="903">
        <v>0</v>
      </c>
      <c r="G23" s="897">
        <v>0</v>
      </c>
      <c r="H23" s="892">
        <v>2</v>
      </c>
      <c r="I23" s="892">
        <v>0</v>
      </c>
      <c r="J23" s="893">
        <v>67</v>
      </c>
      <c r="K23" s="893">
        <v>240</v>
      </c>
      <c r="L23" s="893">
        <v>0</v>
      </c>
      <c r="M23" s="893">
        <v>0</v>
      </c>
      <c r="N23" s="904">
        <v>0</v>
      </c>
      <c r="O23" s="893">
        <v>1</v>
      </c>
      <c r="P23" s="893">
        <v>6</v>
      </c>
      <c r="Q23" s="893">
        <v>0</v>
      </c>
      <c r="R23" s="893">
        <v>3</v>
      </c>
      <c r="S23" s="893">
        <v>0</v>
      </c>
      <c r="T23" s="950">
        <f t="shared" ref="T23:T29" si="33">X23+Z23+AB23+AD23+V23</f>
        <v>0</v>
      </c>
      <c r="U23" s="950">
        <f t="shared" si="31"/>
        <v>25</v>
      </c>
      <c r="V23" s="898">
        <v>0</v>
      </c>
      <c r="W23" s="930">
        <v>3</v>
      </c>
      <c r="X23" s="898">
        <v>0</v>
      </c>
      <c r="Y23" s="898">
        <v>21</v>
      </c>
      <c r="Z23" s="898">
        <v>0</v>
      </c>
      <c r="AA23" s="898">
        <v>1</v>
      </c>
      <c r="AB23" s="898">
        <v>0</v>
      </c>
      <c r="AC23" s="898">
        <v>0</v>
      </c>
      <c r="AD23" s="898">
        <v>0</v>
      </c>
      <c r="AE23" s="898">
        <v>0</v>
      </c>
      <c r="AF23" s="944">
        <f t="shared" si="3"/>
        <v>43</v>
      </c>
      <c r="AG23" s="944">
        <f t="shared" si="4"/>
        <v>154</v>
      </c>
      <c r="AH23" s="894">
        <v>0</v>
      </c>
      <c r="AI23" s="944">
        <f t="shared" si="6"/>
        <v>0</v>
      </c>
      <c r="AJ23" s="944">
        <f t="shared" si="6"/>
        <v>0</v>
      </c>
      <c r="AK23" s="944">
        <f t="shared" si="28"/>
        <v>1</v>
      </c>
      <c r="AL23" s="894">
        <v>4</v>
      </c>
      <c r="AM23" s="894">
        <v>0</v>
      </c>
      <c r="AN23" s="944">
        <f t="shared" si="9"/>
        <v>2</v>
      </c>
      <c r="AO23" s="894">
        <v>0</v>
      </c>
      <c r="AP23" s="944">
        <f t="shared" si="11"/>
        <v>0</v>
      </c>
      <c r="AQ23" s="944">
        <f t="shared" si="12"/>
        <v>16</v>
      </c>
      <c r="AR23" s="894">
        <v>0</v>
      </c>
      <c r="AS23" s="944">
        <f t="shared" si="14"/>
        <v>2</v>
      </c>
      <c r="AT23" s="944">
        <f t="shared" si="15"/>
        <v>0</v>
      </c>
      <c r="AU23" s="944">
        <f t="shared" si="16"/>
        <v>13</v>
      </c>
      <c r="AV23" s="944">
        <f t="shared" si="17"/>
        <v>0</v>
      </c>
      <c r="AW23" s="944">
        <f t="shared" si="18"/>
        <v>1</v>
      </c>
      <c r="AX23" s="944">
        <f t="shared" si="19"/>
        <v>0</v>
      </c>
      <c r="AY23" s="944">
        <f t="shared" si="20"/>
        <v>0</v>
      </c>
      <c r="AZ23" s="944">
        <f t="shared" si="21"/>
        <v>0</v>
      </c>
      <c r="BA23" s="944">
        <f t="shared" si="22"/>
        <v>0</v>
      </c>
      <c r="BB23" s="895">
        <f t="shared" si="23"/>
        <v>342</v>
      </c>
      <c r="BC23" s="945">
        <f t="shared" si="24"/>
        <v>342</v>
      </c>
      <c r="BD23" s="945">
        <f t="shared" si="25"/>
        <v>0</v>
      </c>
      <c r="BE23" s="896"/>
    </row>
    <row r="24" spans="1:57" x14ac:dyDescent="0.2">
      <c r="A24" s="937" t="s">
        <v>677</v>
      </c>
      <c r="B24" s="872">
        <v>10</v>
      </c>
      <c r="C24" s="872">
        <v>67</v>
      </c>
      <c r="D24" s="586">
        <v>0</v>
      </c>
      <c r="E24" s="586">
        <v>0</v>
      </c>
      <c r="F24" s="903">
        <v>0</v>
      </c>
      <c r="G24" s="578">
        <v>0</v>
      </c>
      <c r="H24" s="586">
        <v>0</v>
      </c>
      <c r="I24" s="586">
        <v>0</v>
      </c>
      <c r="J24" s="873">
        <v>10</v>
      </c>
      <c r="K24" s="873">
        <v>57</v>
      </c>
      <c r="L24" s="234">
        <v>0</v>
      </c>
      <c r="M24" s="234">
        <v>0</v>
      </c>
      <c r="N24" s="904">
        <v>0</v>
      </c>
      <c r="O24" s="234">
        <v>0</v>
      </c>
      <c r="P24" s="950">
        <v>0</v>
      </c>
      <c r="Q24" s="950">
        <v>0</v>
      </c>
      <c r="R24" s="950">
        <v>0</v>
      </c>
      <c r="S24" s="950">
        <v>0</v>
      </c>
      <c r="T24" s="950">
        <f t="shared" si="33"/>
        <v>0</v>
      </c>
      <c r="U24" s="234">
        <f t="shared" si="31"/>
        <v>10</v>
      </c>
      <c r="V24" s="874">
        <f>G24</f>
        <v>0</v>
      </c>
      <c r="W24" s="930">
        <f t="shared" si="27"/>
        <v>0</v>
      </c>
      <c r="X24" s="874">
        <v>0</v>
      </c>
      <c r="Y24" s="874">
        <v>5</v>
      </c>
      <c r="Z24" s="874">
        <v>0</v>
      </c>
      <c r="AA24" s="874">
        <v>2</v>
      </c>
      <c r="AB24" s="874">
        <v>0</v>
      </c>
      <c r="AC24" s="874">
        <v>3</v>
      </c>
      <c r="AD24" s="874">
        <v>0</v>
      </c>
      <c r="AE24" s="874">
        <v>0</v>
      </c>
      <c r="AF24" s="323">
        <f t="shared" ref="AF24:AF29" si="34">ROUND(J24*$BB$3,0)</f>
        <v>6</v>
      </c>
      <c r="AG24" s="323">
        <f t="shared" si="4"/>
        <v>36</v>
      </c>
      <c r="AH24" s="323">
        <f t="shared" si="5"/>
        <v>0</v>
      </c>
      <c r="AI24" s="323">
        <f t="shared" si="6"/>
        <v>0</v>
      </c>
      <c r="AJ24" s="944">
        <f t="shared" si="6"/>
        <v>0</v>
      </c>
      <c r="AK24" s="323">
        <f t="shared" si="28"/>
        <v>0</v>
      </c>
      <c r="AL24" s="323">
        <f t="shared" si="7"/>
        <v>0</v>
      </c>
      <c r="AM24" s="323">
        <f t="shared" si="8"/>
        <v>0</v>
      </c>
      <c r="AN24" s="323">
        <f t="shared" si="9"/>
        <v>0</v>
      </c>
      <c r="AO24" s="323">
        <f t="shared" si="10"/>
        <v>0</v>
      </c>
      <c r="AP24" s="944">
        <f t="shared" si="11"/>
        <v>0</v>
      </c>
      <c r="AQ24" s="944">
        <f t="shared" si="12"/>
        <v>6</v>
      </c>
      <c r="AR24" s="323">
        <f t="shared" si="13"/>
        <v>0</v>
      </c>
      <c r="AS24" s="944">
        <f t="shared" si="14"/>
        <v>0</v>
      </c>
      <c r="AT24" s="323">
        <f t="shared" si="15"/>
        <v>0</v>
      </c>
      <c r="AU24" s="944">
        <f t="shared" si="16"/>
        <v>3</v>
      </c>
      <c r="AV24" s="323">
        <f t="shared" si="17"/>
        <v>0</v>
      </c>
      <c r="AW24" s="944">
        <f t="shared" si="18"/>
        <v>1</v>
      </c>
      <c r="AX24" s="323">
        <f t="shared" si="19"/>
        <v>0</v>
      </c>
      <c r="AY24" s="323">
        <f t="shared" si="20"/>
        <v>2</v>
      </c>
      <c r="AZ24" s="323">
        <f t="shared" si="21"/>
        <v>0</v>
      </c>
      <c r="BA24" s="323">
        <f t="shared" si="22"/>
        <v>0</v>
      </c>
      <c r="BB24" s="895">
        <f t="shared" si="23"/>
        <v>77</v>
      </c>
      <c r="BC24" s="945">
        <f t="shared" si="24"/>
        <v>77</v>
      </c>
      <c r="BD24" s="404">
        <f t="shared" si="25"/>
        <v>0</v>
      </c>
      <c r="BE24" s="404"/>
    </row>
    <row r="25" spans="1:57" x14ac:dyDescent="0.2">
      <c r="A25" s="937" t="s">
        <v>678</v>
      </c>
      <c r="B25" s="888">
        <v>9</v>
      </c>
      <c r="C25" s="888">
        <v>89</v>
      </c>
      <c r="D25" s="888">
        <v>0</v>
      </c>
      <c r="E25" s="888">
        <v>0</v>
      </c>
      <c r="F25" s="903">
        <v>0</v>
      </c>
      <c r="G25" s="890">
        <v>0</v>
      </c>
      <c r="H25" s="888">
        <v>1</v>
      </c>
      <c r="I25" s="888">
        <v>0</v>
      </c>
      <c r="J25" s="889">
        <v>9</v>
      </c>
      <c r="K25" s="889">
        <v>76</v>
      </c>
      <c r="L25" s="889">
        <v>0</v>
      </c>
      <c r="M25" s="889">
        <v>0</v>
      </c>
      <c r="N25" s="904">
        <v>0</v>
      </c>
      <c r="O25" s="889">
        <v>0</v>
      </c>
      <c r="P25" s="889">
        <v>1</v>
      </c>
      <c r="Q25" s="889">
        <v>0</v>
      </c>
      <c r="R25" s="889">
        <v>0</v>
      </c>
      <c r="S25" s="889">
        <v>0</v>
      </c>
      <c r="T25" s="950">
        <f t="shared" si="33"/>
        <v>0</v>
      </c>
      <c r="U25" s="950">
        <f t="shared" si="31"/>
        <v>13</v>
      </c>
      <c r="V25" s="891">
        <v>0</v>
      </c>
      <c r="W25" s="930">
        <v>0</v>
      </c>
      <c r="X25" s="891">
        <v>0</v>
      </c>
      <c r="Y25" s="891">
        <v>10</v>
      </c>
      <c r="Z25" s="891">
        <v>0</v>
      </c>
      <c r="AA25" s="891">
        <v>0</v>
      </c>
      <c r="AB25" s="891">
        <v>0</v>
      </c>
      <c r="AC25" s="891">
        <v>3</v>
      </c>
      <c r="AD25" s="891">
        <v>0</v>
      </c>
      <c r="AE25" s="891">
        <v>0</v>
      </c>
      <c r="AF25" s="323">
        <f t="shared" si="34"/>
        <v>6</v>
      </c>
      <c r="AG25" s="323">
        <f t="shared" si="4"/>
        <v>49</v>
      </c>
      <c r="AH25" s="323">
        <f t="shared" si="5"/>
        <v>0</v>
      </c>
      <c r="AI25" s="323">
        <f t="shared" si="6"/>
        <v>0</v>
      </c>
      <c r="AJ25" s="944">
        <f t="shared" si="6"/>
        <v>0</v>
      </c>
      <c r="AK25" s="323">
        <f t="shared" si="28"/>
        <v>0</v>
      </c>
      <c r="AL25" s="323">
        <f t="shared" si="7"/>
        <v>1</v>
      </c>
      <c r="AM25" s="323">
        <f t="shared" si="8"/>
        <v>0</v>
      </c>
      <c r="AN25" s="323">
        <f t="shared" si="9"/>
        <v>0</v>
      </c>
      <c r="AO25" s="323">
        <f t="shared" si="10"/>
        <v>0</v>
      </c>
      <c r="AP25" s="944">
        <f t="shared" si="11"/>
        <v>0</v>
      </c>
      <c r="AQ25" s="944">
        <f t="shared" si="12"/>
        <v>8</v>
      </c>
      <c r="AR25" s="323">
        <f t="shared" si="13"/>
        <v>0</v>
      </c>
      <c r="AS25" s="944">
        <f t="shared" si="14"/>
        <v>0</v>
      </c>
      <c r="AT25" s="323">
        <f t="shared" si="15"/>
        <v>0</v>
      </c>
      <c r="AU25" s="944">
        <f t="shared" si="16"/>
        <v>6</v>
      </c>
      <c r="AV25" s="323">
        <f t="shared" si="17"/>
        <v>0</v>
      </c>
      <c r="AW25" s="944">
        <f t="shared" si="18"/>
        <v>0</v>
      </c>
      <c r="AX25" s="323">
        <f t="shared" si="19"/>
        <v>0</v>
      </c>
      <c r="AY25" s="323">
        <f t="shared" si="20"/>
        <v>2</v>
      </c>
      <c r="AZ25" s="323">
        <f t="shared" si="21"/>
        <v>0</v>
      </c>
      <c r="BA25" s="323">
        <f t="shared" si="22"/>
        <v>0</v>
      </c>
      <c r="BB25" s="895">
        <f t="shared" si="23"/>
        <v>99</v>
      </c>
      <c r="BC25" s="945">
        <f t="shared" si="24"/>
        <v>99</v>
      </c>
      <c r="BD25" s="404">
        <f t="shared" si="25"/>
        <v>0</v>
      </c>
      <c r="BE25" s="404"/>
    </row>
    <row r="26" spans="1:57" s="940" customFormat="1" x14ac:dyDescent="0.2">
      <c r="A26" s="937" t="s">
        <v>683</v>
      </c>
      <c r="B26" s="949">
        <v>20</v>
      </c>
      <c r="C26" s="949">
        <v>34</v>
      </c>
      <c r="D26" s="949">
        <v>0</v>
      </c>
      <c r="E26" s="949">
        <v>0</v>
      </c>
      <c r="F26" s="949">
        <v>0</v>
      </c>
      <c r="G26" s="905">
        <v>0</v>
      </c>
      <c r="H26" s="949">
        <v>0</v>
      </c>
      <c r="I26" s="949">
        <v>0</v>
      </c>
      <c r="J26" s="950">
        <v>20</v>
      </c>
      <c r="K26" s="950">
        <v>32</v>
      </c>
      <c r="L26" s="950">
        <v>0</v>
      </c>
      <c r="M26" s="950">
        <v>0</v>
      </c>
      <c r="N26" s="950">
        <v>0</v>
      </c>
      <c r="O26" s="950">
        <v>0</v>
      </c>
      <c r="P26" s="950">
        <v>0</v>
      </c>
      <c r="Q26" s="950">
        <v>0</v>
      </c>
      <c r="R26" s="950">
        <v>1</v>
      </c>
      <c r="S26" s="950">
        <v>0</v>
      </c>
      <c r="T26" s="950">
        <f t="shared" si="33"/>
        <v>0</v>
      </c>
      <c r="U26" s="950">
        <f t="shared" si="31"/>
        <v>1</v>
      </c>
      <c r="V26" s="930">
        <v>0</v>
      </c>
      <c r="W26" s="930">
        <v>0</v>
      </c>
      <c r="X26" s="930">
        <v>0</v>
      </c>
      <c r="Y26" s="930">
        <v>0</v>
      </c>
      <c r="Z26" s="930">
        <v>0</v>
      </c>
      <c r="AA26" s="930">
        <v>1</v>
      </c>
      <c r="AB26" s="930">
        <v>0</v>
      </c>
      <c r="AC26" s="930">
        <v>0</v>
      </c>
      <c r="AD26" s="930">
        <v>0</v>
      </c>
      <c r="AE26" s="930">
        <v>0</v>
      </c>
      <c r="AF26" s="944">
        <f t="shared" si="34"/>
        <v>13</v>
      </c>
      <c r="AG26" s="944">
        <f t="shared" si="4"/>
        <v>20</v>
      </c>
      <c r="AH26" s="944">
        <f t="shared" si="5"/>
        <v>0</v>
      </c>
      <c r="AI26" s="944">
        <f t="shared" si="6"/>
        <v>0</v>
      </c>
      <c r="AJ26" s="944">
        <f t="shared" si="6"/>
        <v>0</v>
      </c>
      <c r="AK26" s="944">
        <f t="shared" si="28"/>
        <v>0</v>
      </c>
      <c r="AL26" s="944">
        <f t="shared" si="7"/>
        <v>0</v>
      </c>
      <c r="AM26" s="944">
        <f t="shared" si="8"/>
        <v>0</v>
      </c>
      <c r="AN26" s="944">
        <f t="shared" si="9"/>
        <v>1</v>
      </c>
      <c r="AO26" s="944">
        <f t="shared" si="10"/>
        <v>0</v>
      </c>
      <c r="AP26" s="944">
        <f t="shared" si="11"/>
        <v>0</v>
      </c>
      <c r="AQ26" s="944">
        <f t="shared" si="12"/>
        <v>1</v>
      </c>
      <c r="AR26" s="944">
        <f t="shared" si="13"/>
        <v>0</v>
      </c>
      <c r="AS26" s="944">
        <f t="shared" si="14"/>
        <v>0</v>
      </c>
      <c r="AT26" s="944">
        <f t="shared" si="15"/>
        <v>0</v>
      </c>
      <c r="AU26" s="944">
        <f t="shared" si="16"/>
        <v>0</v>
      </c>
      <c r="AV26" s="944">
        <f t="shared" si="17"/>
        <v>0</v>
      </c>
      <c r="AW26" s="944">
        <f t="shared" si="18"/>
        <v>1</v>
      </c>
      <c r="AX26" s="944">
        <f t="shared" si="19"/>
        <v>0</v>
      </c>
      <c r="AY26" s="944">
        <f t="shared" si="20"/>
        <v>0</v>
      </c>
      <c r="AZ26" s="944">
        <f t="shared" si="21"/>
        <v>0</v>
      </c>
      <c r="BA26" s="944">
        <f t="shared" si="22"/>
        <v>0</v>
      </c>
      <c r="BB26" s="895">
        <f t="shared" si="23"/>
        <v>54</v>
      </c>
      <c r="BC26" s="945">
        <f t="shared" si="24"/>
        <v>54</v>
      </c>
      <c r="BD26" s="945"/>
      <c r="BE26" s="945"/>
    </row>
    <row r="27" spans="1:57" x14ac:dyDescent="0.2">
      <c r="A27" s="937" t="s">
        <v>679</v>
      </c>
      <c r="B27" s="928">
        <v>13</v>
      </c>
      <c r="C27" s="928">
        <v>50</v>
      </c>
      <c r="D27" s="926">
        <v>0</v>
      </c>
      <c r="E27" s="926">
        <v>0</v>
      </c>
      <c r="F27" s="903">
        <v>0</v>
      </c>
      <c r="G27" s="578">
        <v>0</v>
      </c>
      <c r="H27" s="586">
        <v>0</v>
      </c>
      <c r="I27" s="586">
        <v>0</v>
      </c>
      <c r="J27" s="929">
        <v>13</v>
      </c>
      <c r="K27" s="929">
        <v>45</v>
      </c>
      <c r="L27" s="234">
        <v>0</v>
      </c>
      <c r="M27" s="234">
        <v>0</v>
      </c>
      <c r="N27" s="904">
        <v>0</v>
      </c>
      <c r="O27" s="234">
        <v>0</v>
      </c>
      <c r="P27" s="234">
        <v>1</v>
      </c>
      <c r="Q27" s="234">
        <v>0</v>
      </c>
      <c r="R27" s="234">
        <v>0</v>
      </c>
      <c r="S27" s="234">
        <v>0</v>
      </c>
      <c r="T27" s="950">
        <f t="shared" si="33"/>
        <v>0</v>
      </c>
      <c r="U27" s="234">
        <f t="shared" ref="U27:U29" si="35">Y27+AA27+AC27+AE27+W27</f>
        <v>4</v>
      </c>
      <c r="V27" s="930">
        <v>0</v>
      </c>
      <c r="W27" s="930">
        <f t="shared" si="27"/>
        <v>0</v>
      </c>
      <c r="X27" s="930">
        <v>0</v>
      </c>
      <c r="Y27" s="930">
        <v>2</v>
      </c>
      <c r="Z27" s="930">
        <v>0</v>
      </c>
      <c r="AA27" s="930">
        <v>1</v>
      </c>
      <c r="AB27" s="930">
        <v>0</v>
      </c>
      <c r="AC27" s="930">
        <v>1</v>
      </c>
      <c r="AD27" s="930">
        <v>0</v>
      </c>
      <c r="AE27" s="930">
        <v>0</v>
      </c>
      <c r="AF27" s="323">
        <f t="shared" si="34"/>
        <v>8</v>
      </c>
      <c r="AG27" s="323">
        <f t="shared" si="4"/>
        <v>29</v>
      </c>
      <c r="AH27" s="323">
        <f t="shared" si="5"/>
        <v>0</v>
      </c>
      <c r="AI27" s="323">
        <f t="shared" si="6"/>
        <v>0</v>
      </c>
      <c r="AJ27" s="944">
        <f t="shared" si="6"/>
        <v>0</v>
      </c>
      <c r="AK27" s="323">
        <f t="shared" si="28"/>
        <v>0</v>
      </c>
      <c r="AL27" s="323">
        <f t="shared" si="7"/>
        <v>1</v>
      </c>
      <c r="AM27" s="323">
        <f t="shared" si="8"/>
        <v>0</v>
      </c>
      <c r="AN27" s="323">
        <f t="shared" si="9"/>
        <v>0</v>
      </c>
      <c r="AO27" s="323">
        <f t="shared" si="10"/>
        <v>0</v>
      </c>
      <c r="AP27" s="944">
        <f t="shared" si="11"/>
        <v>0</v>
      </c>
      <c r="AQ27" s="944">
        <f t="shared" si="12"/>
        <v>3</v>
      </c>
      <c r="AR27" s="944">
        <f t="shared" si="13"/>
        <v>0</v>
      </c>
      <c r="AS27" s="944">
        <f t="shared" si="14"/>
        <v>0</v>
      </c>
      <c r="AT27" s="323">
        <f t="shared" si="15"/>
        <v>0</v>
      </c>
      <c r="AU27" s="944">
        <f t="shared" si="16"/>
        <v>1</v>
      </c>
      <c r="AV27" s="323">
        <f t="shared" si="17"/>
        <v>0</v>
      </c>
      <c r="AW27" s="944">
        <f t="shared" si="18"/>
        <v>1</v>
      </c>
      <c r="AX27" s="323">
        <f t="shared" si="19"/>
        <v>0</v>
      </c>
      <c r="AY27" s="323">
        <f t="shared" si="20"/>
        <v>1</v>
      </c>
      <c r="AZ27" s="323">
        <f t="shared" si="21"/>
        <v>0</v>
      </c>
      <c r="BA27" s="323">
        <f t="shared" si="22"/>
        <v>0</v>
      </c>
      <c r="BB27" s="895">
        <f t="shared" si="23"/>
        <v>63</v>
      </c>
      <c r="BC27" s="945">
        <f t="shared" si="24"/>
        <v>63</v>
      </c>
      <c r="BD27" s="404">
        <f t="shared" si="25"/>
        <v>0</v>
      </c>
      <c r="BE27" s="404"/>
    </row>
    <row r="28" spans="1:57" s="940" customFormat="1" x14ac:dyDescent="0.2">
      <c r="A28" s="937" t="s">
        <v>684</v>
      </c>
      <c r="B28" s="949">
        <v>0</v>
      </c>
      <c r="C28" s="949">
        <v>104</v>
      </c>
      <c r="D28" s="949">
        <v>0</v>
      </c>
      <c r="E28" s="949">
        <v>0</v>
      </c>
      <c r="F28" s="949">
        <v>0</v>
      </c>
      <c r="G28" s="905">
        <v>0</v>
      </c>
      <c r="H28" s="949">
        <v>5</v>
      </c>
      <c r="I28" s="949">
        <v>0</v>
      </c>
      <c r="J28" s="950">
        <v>0</v>
      </c>
      <c r="K28" s="950">
        <v>90</v>
      </c>
      <c r="L28" s="950">
        <v>0</v>
      </c>
      <c r="M28" s="950">
        <v>0</v>
      </c>
      <c r="N28" s="950">
        <v>0</v>
      </c>
      <c r="O28" s="950">
        <v>0</v>
      </c>
      <c r="P28" s="950">
        <v>1</v>
      </c>
      <c r="Q28" s="950">
        <v>0</v>
      </c>
      <c r="R28" s="950">
        <v>2</v>
      </c>
      <c r="S28" s="950">
        <v>0</v>
      </c>
      <c r="T28" s="950">
        <f t="shared" si="33"/>
        <v>0</v>
      </c>
      <c r="U28" s="950">
        <f t="shared" si="35"/>
        <v>16</v>
      </c>
      <c r="V28" s="930">
        <v>0</v>
      </c>
      <c r="W28" s="930">
        <v>3</v>
      </c>
      <c r="X28" s="930">
        <v>0</v>
      </c>
      <c r="Y28" s="930">
        <v>2</v>
      </c>
      <c r="Z28" s="930">
        <v>0</v>
      </c>
      <c r="AA28" s="930">
        <v>0</v>
      </c>
      <c r="AB28" s="930">
        <v>0</v>
      </c>
      <c r="AC28" s="930">
        <v>11</v>
      </c>
      <c r="AD28" s="930">
        <v>0</v>
      </c>
      <c r="AE28" s="930">
        <v>0</v>
      </c>
      <c r="AF28" s="944">
        <f t="shared" si="34"/>
        <v>0</v>
      </c>
      <c r="AG28" s="944">
        <f t="shared" si="4"/>
        <v>58</v>
      </c>
      <c r="AH28" s="944">
        <f t="shared" si="5"/>
        <v>0</v>
      </c>
      <c r="AI28" s="944">
        <f t="shared" si="6"/>
        <v>0</v>
      </c>
      <c r="AJ28" s="944">
        <f t="shared" si="6"/>
        <v>0</v>
      </c>
      <c r="AK28" s="944">
        <f t="shared" si="28"/>
        <v>0</v>
      </c>
      <c r="AL28" s="944">
        <f t="shared" si="7"/>
        <v>1</v>
      </c>
      <c r="AM28" s="944">
        <f t="shared" si="8"/>
        <v>0</v>
      </c>
      <c r="AN28" s="944">
        <f t="shared" si="9"/>
        <v>1</v>
      </c>
      <c r="AO28" s="944">
        <f t="shared" si="10"/>
        <v>0</v>
      </c>
      <c r="AP28" s="944">
        <f t="shared" si="11"/>
        <v>0</v>
      </c>
      <c r="AQ28" s="944">
        <f t="shared" si="12"/>
        <v>10</v>
      </c>
      <c r="AR28" s="944">
        <f t="shared" si="13"/>
        <v>0</v>
      </c>
      <c r="AS28" s="944">
        <f t="shared" si="14"/>
        <v>2</v>
      </c>
      <c r="AT28" s="944">
        <f t="shared" si="15"/>
        <v>0</v>
      </c>
      <c r="AU28" s="944">
        <f t="shared" si="16"/>
        <v>1</v>
      </c>
      <c r="AV28" s="944">
        <f t="shared" si="17"/>
        <v>0</v>
      </c>
      <c r="AW28" s="944">
        <f t="shared" si="18"/>
        <v>0</v>
      </c>
      <c r="AX28" s="944">
        <f t="shared" si="19"/>
        <v>0</v>
      </c>
      <c r="AY28" s="944">
        <f t="shared" si="20"/>
        <v>7</v>
      </c>
      <c r="AZ28" s="944">
        <f t="shared" si="21"/>
        <v>0</v>
      </c>
      <c r="BA28" s="944">
        <f t="shared" si="22"/>
        <v>0</v>
      </c>
      <c r="BB28" s="895">
        <f t="shared" si="23"/>
        <v>109</v>
      </c>
      <c r="BC28" s="945">
        <f t="shared" si="24"/>
        <v>109</v>
      </c>
      <c r="BD28" s="945"/>
      <c r="BE28" s="945"/>
    </row>
    <row r="29" spans="1:57" x14ac:dyDescent="0.2">
      <c r="A29" s="937" t="s">
        <v>680</v>
      </c>
      <c r="B29" s="884">
        <v>22</v>
      </c>
      <c r="C29" s="884">
        <v>78</v>
      </c>
      <c r="D29" s="884">
        <v>0</v>
      </c>
      <c r="E29" s="884">
        <v>0</v>
      </c>
      <c r="F29" s="903">
        <v>0</v>
      </c>
      <c r="G29" s="886">
        <v>0</v>
      </c>
      <c r="H29" s="884">
        <v>0</v>
      </c>
      <c r="I29" s="884">
        <v>0</v>
      </c>
      <c r="J29" s="885">
        <v>20</v>
      </c>
      <c r="K29" s="885">
        <v>69</v>
      </c>
      <c r="L29" s="885">
        <v>0</v>
      </c>
      <c r="M29" s="885">
        <v>0</v>
      </c>
      <c r="N29" s="904">
        <v>0</v>
      </c>
      <c r="O29" s="885">
        <v>1</v>
      </c>
      <c r="P29" s="885">
        <v>1</v>
      </c>
      <c r="Q29" s="885">
        <v>0</v>
      </c>
      <c r="R29" s="885">
        <v>0</v>
      </c>
      <c r="S29" s="885">
        <v>0</v>
      </c>
      <c r="T29" s="950">
        <f t="shared" si="33"/>
        <v>1</v>
      </c>
      <c r="U29" s="950">
        <f t="shared" si="35"/>
        <v>8</v>
      </c>
      <c r="V29" s="887">
        <v>0</v>
      </c>
      <c r="W29" s="930">
        <f t="shared" si="27"/>
        <v>0</v>
      </c>
      <c r="X29" s="887">
        <v>0</v>
      </c>
      <c r="Y29" s="887">
        <v>5</v>
      </c>
      <c r="Z29" s="887">
        <v>0</v>
      </c>
      <c r="AA29" s="887">
        <v>0</v>
      </c>
      <c r="AB29" s="887">
        <v>1</v>
      </c>
      <c r="AC29" s="887">
        <v>3</v>
      </c>
      <c r="AD29" s="887">
        <v>0</v>
      </c>
      <c r="AE29" s="887">
        <v>0</v>
      </c>
      <c r="AF29" s="323">
        <f t="shared" si="34"/>
        <v>13</v>
      </c>
      <c r="AG29" s="323">
        <f t="shared" si="4"/>
        <v>44</v>
      </c>
      <c r="AH29" s="323">
        <f t="shared" si="5"/>
        <v>0</v>
      </c>
      <c r="AI29" s="323">
        <f t="shared" si="6"/>
        <v>0</v>
      </c>
      <c r="AJ29" s="944">
        <f t="shared" si="6"/>
        <v>0</v>
      </c>
      <c r="AK29" s="323">
        <f t="shared" si="28"/>
        <v>1</v>
      </c>
      <c r="AL29" s="323">
        <f t="shared" si="7"/>
        <v>1</v>
      </c>
      <c r="AM29" s="323">
        <f t="shared" si="8"/>
        <v>0</v>
      </c>
      <c r="AN29" s="323">
        <f t="shared" si="9"/>
        <v>0</v>
      </c>
      <c r="AO29" s="323">
        <f t="shared" si="10"/>
        <v>0</v>
      </c>
      <c r="AP29" s="944">
        <f t="shared" si="11"/>
        <v>1</v>
      </c>
      <c r="AQ29" s="944">
        <f t="shared" si="12"/>
        <v>5</v>
      </c>
      <c r="AR29" s="944">
        <f t="shared" si="13"/>
        <v>0</v>
      </c>
      <c r="AS29" s="944">
        <f t="shared" si="14"/>
        <v>0</v>
      </c>
      <c r="AT29" s="323">
        <f t="shared" si="15"/>
        <v>0</v>
      </c>
      <c r="AU29" s="944">
        <f t="shared" si="16"/>
        <v>3</v>
      </c>
      <c r="AV29" s="323">
        <f t="shared" si="17"/>
        <v>0</v>
      </c>
      <c r="AW29" s="944">
        <f t="shared" si="18"/>
        <v>0</v>
      </c>
      <c r="AX29" s="323">
        <f t="shared" si="19"/>
        <v>1</v>
      </c>
      <c r="AY29" s="323">
        <f t="shared" si="20"/>
        <v>2</v>
      </c>
      <c r="AZ29" s="323">
        <f t="shared" si="21"/>
        <v>0</v>
      </c>
      <c r="BA29" s="323">
        <f t="shared" si="22"/>
        <v>0</v>
      </c>
      <c r="BB29" s="895">
        <f t="shared" si="23"/>
        <v>100</v>
      </c>
      <c r="BC29" s="945">
        <f t="shared" si="24"/>
        <v>100</v>
      </c>
      <c r="BD29" s="404">
        <f t="shared" si="25"/>
        <v>0</v>
      </c>
      <c r="BE29" s="404"/>
    </row>
    <row r="30" spans="1:57" x14ac:dyDescent="0.2">
      <c r="A30" s="74" t="s">
        <v>1</v>
      </c>
      <c r="B30" s="457">
        <f t="shared" ref="B30:AG30" si="36">SUM(B6:B29)</f>
        <v>799</v>
      </c>
      <c r="C30" s="457">
        <f t="shared" si="36"/>
        <v>3749</v>
      </c>
      <c r="D30" s="457">
        <f t="shared" si="36"/>
        <v>89</v>
      </c>
      <c r="E30" s="457">
        <f t="shared" si="36"/>
        <v>37</v>
      </c>
      <c r="F30" s="951">
        <f t="shared" si="36"/>
        <v>42</v>
      </c>
      <c r="G30" s="457">
        <f t="shared" si="36"/>
        <v>0</v>
      </c>
      <c r="H30" s="457">
        <f t="shared" si="36"/>
        <v>292</v>
      </c>
      <c r="I30" s="457">
        <f t="shared" si="36"/>
        <v>106</v>
      </c>
      <c r="J30" s="457">
        <f t="shared" si="36"/>
        <v>812</v>
      </c>
      <c r="K30" s="457">
        <f t="shared" si="36"/>
        <v>3522</v>
      </c>
      <c r="L30" s="457">
        <f t="shared" si="36"/>
        <v>88</v>
      </c>
      <c r="M30" s="457">
        <f t="shared" si="36"/>
        <v>35</v>
      </c>
      <c r="N30" s="951">
        <f t="shared" si="36"/>
        <v>42</v>
      </c>
      <c r="O30" s="457">
        <f t="shared" si="36"/>
        <v>5</v>
      </c>
      <c r="P30" s="457">
        <f t="shared" si="36"/>
        <v>59</v>
      </c>
      <c r="Q30" s="457">
        <f t="shared" si="36"/>
        <v>0</v>
      </c>
      <c r="R30" s="457">
        <f t="shared" si="36"/>
        <v>26</v>
      </c>
      <c r="S30" s="457">
        <f t="shared" si="36"/>
        <v>0</v>
      </c>
      <c r="T30" s="457">
        <f t="shared" si="36"/>
        <v>6</v>
      </c>
      <c r="U30" s="457">
        <f t="shared" si="36"/>
        <v>519</v>
      </c>
      <c r="V30" s="457">
        <f t="shared" si="36"/>
        <v>0</v>
      </c>
      <c r="W30" s="457">
        <f t="shared" si="36"/>
        <v>394</v>
      </c>
      <c r="X30" s="457">
        <f t="shared" si="36"/>
        <v>3</v>
      </c>
      <c r="Y30" s="457">
        <f t="shared" si="36"/>
        <v>73</v>
      </c>
      <c r="Z30" s="457">
        <f t="shared" si="36"/>
        <v>1</v>
      </c>
      <c r="AA30" s="457">
        <f t="shared" si="36"/>
        <v>14</v>
      </c>
      <c r="AB30" s="457">
        <f t="shared" si="36"/>
        <v>2</v>
      </c>
      <c r="AC30" s="457">
        <f t="shared" si="36"/>
        <v>36</v>
      </c>
      <c r="AD30" s="457">
        <f t="shared" si="36"/>
        <v>0</v>
      </c>
      <c r="AE30" s="457">
        <f t="shared" si="36"/>
        <v>2</v>
      </c>
      <c r="AF30" s="457">
        <f t="shared" si="36"/>
        <v>518</v>
      </c>
      <c r="AG30" s="457">
        <f t="shared" si="36"/>
        <v>2257</v>
      </c>
      <c r="AH30" s="457">
        <f t="shared" ref="AH30:BD30" si="37">SUM(AH6:AH29)</f>
        <v>56</v>
      </c>
      <c r="AI30" s="457">
        <f t="shared" si="37"/>
        <v>22</v>
      </c>
      <c r="AJ30" s="947">
        <f t="shared" si="37"/>
        <v>27</v>
      </c>
      <c r="AK30" s="457">
        <f t="shared" si="37"/>
        <v>5</v>
      </c>
      <c r="AL30" s="457">
        <f t="shared" si="37"/>
        <v>39</v>
      </c>
      <c r="AM30" s="457">
        <f t="shared" si="37"/>
        <v>0</v>
      </c>
      <c r="AN30" s="457">
        <f t="shared" si="37"/>
        <v>18</v>
      </c>
      <c r="AO30" s="457">
        <f t="shared" si="37"/>
        <v>0</v>
      </c>
      <c r="AP30" s="457">
        <f t="shared" si="37"/>
        <v>4</v>
      </c>
      <c r="AQ30" s="457">
        <f t="shared" si="37"/>
        <v>330</v>
      </c>
      <c r="AR30" s="457">
        <f t="shared" si="37"/>
        <v>0</v>
      </c>
      <c r="AS30" s="457">
        <f t="shared" si="37"/>
        <v>252</v>
      </c>
      <c r="AT30" s="457">
        <f t="shared" si="37"/>
        <v>2</v>
      </c>
      <c r="AU30" s="457">
        <f t="shared" si="37"/>
        <v>44</v>
      </c>
      <c r="AV30" s="457">
        <f t="shared" si="37"/>
        <v>1</v>
      </c>
      <c r="AW30" s="457">
        <f t="shared" si="37"/>
        <v>11</v>
      </c>
      <c r="AX30" s="457">
        <f t="shared" si="37"/>
        <v>2</v>
      </c>
      <c r="AY30" s="457">
        <f t="shared" si="37"/>
        <v>24</v>
      </c>
      <c r="AZ30" s="457">
        <f t="shared" si="37"/>
        <v>0</v>
      </c>
      <c r="BA30" s="457">
        <f t="shared" si="37"/>
        <v>2</v>
      </c>
      <c r="BB30" s="101">
        <f t="shared" si="37"/>
        <v>5114</v>
      </c>
      <c r="BC30" s="101">
        <f t="shared" si="37"/>
        <v>5114</v>
      </c>
      <c r="BD30" s="404">
        <f t="shared" si="37"/>
        <v>0</v>
      </c>
      <c r="BE30" s="404"/>
    </row>
    <row r="31" spans="1:57" x14ac:dyDescent="0.2">
      <c r="B31" s="404"/>
      <c r="C31" s="404"/>
      <c r="D31" s="404"/>
      <c r="E31" s="404"/>
      <c r="F31" s="896"/>
      <c r="G31" s="404"/>
      <c r="H31" s="404"/>
      <c r="I31" s="404"/>
      <c r="AF31" s="404"/>
      <c r="AG31" s="404"/>
      <c r="AH31" s="404"/>
      <c r="AI31" s="404"/>
      <c r="AJ31" s="945"/>
      <c r="AK31" s="404"/>
      <c r="AL31" s="404"/>
      <c r="AM31" s="404"/>
      <c r="AN31" s="404"/>
      <c r="AO31" s="404"/>
      <c r="AP31" s="404"/>
      <c r="AQ31" s="404"/>
      <c r="AR31" s="404"/>
      <c r="AS31" s="404"/>
    </row>
    <row r="33" spans="2:54" x14ac:dyDescent="0.2">
      <c r="B33" s="404"/>
      <c r="C33" s="404"/>
      <c r="D33" s="404"/>
      <c r="E33" s="404"/>
      <c r="F33" s="896"/>
      <c r="G33" s="404"/>
      <c r="H33" s="404"/>
      <c r="I33" s="404"/>
      <c r="J33" s="404"/>
      <c r="K33" s="404"/>
      <c r="L33" s="404"/>
      <c r="M33" s="404"/>
      <c r="N33" s="896"/>
      <c r="O33" s="404"/>
      <c r="P33" s="404"/>
      <c r="Q33" s="404"/>
      <c r="R33" s="404"/>
      <c r="S33" s="404"/>
      <c r="T33" s="404"/>
      <c r="U33" s="404"/>
      <c r="V33" s="404"/>
      <c r="W33" s="404"/>
      <c r="X33" s="404"/>
      <c r="Y33" s="404"/>
      <c r="Z33" s="404"/>
      <c r="AA33" s="404"/>
      <c r="AB33" s="404"/>
      <c r="AF33" s="404"/>
      <c r="AG33" s="404"/>
      <c r="AH33" s="404"/>
      <c r="AI33" s="404"/>
      <c r="AJ33" s="945"/>
      <c r="AK33" s="404"/>
      <c r="AL33" s="404"/>
      <c r="AM33" s="404"/>
      <c r="AN33" s="404"/>
      <c r="AO33" s="404"/>
      <c r="AP33" s="404"/>
      <c r="AQ33" s="404"/>
      <c r="AR33" s="404"/>
      <c r="AS33" s="404"/>
      <c r="AT33" s="404"/>
      <c r="AU33" s="404"/>
      <c r="AV33" s="404"/>
      <c r="AW33" s="404"/>
      <c r="AX33" s="404"/>
      <c r="BB33" s="404"/>
    </row>
  </sheetData>
  <sheetProtection selectLockedCells="1" selectUnlockedCells="1"/>
  <mergeCells count="6">
    <mergeCell ref="BB4:BB5"/>
    <mergeCell ref="A2:A5"/>
    <mergeCell ref="B2:AB2"/>
    <mergeCell ref="B3:I3"/>
    <mergeCell ref="J3:AE3"/>
    <mergeCell ref="AF3:BA3"/>
  </mergeCells>
  <pageMargins left="0" right="0" top="0" bottom="0" header="0" footer="0"/>
  <pageSetup paperSize="9" scale="16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Q21"/>
  <sheetViews>
    <sheetView zoomScale="110" zoomScaleNormal="110" workbookViewId="0">
      <selection activeCell="I22" sqref="I22"/>
    </sheetView>
  </sheetViews>
  <sheetFormatPr defaultRowHeight="12.75" x14ac:dyDescent="0.2"/>
  <cols>
    <col min="1" max="1" width="34.140625" style="14" customWidth="1"/>
    <col min="2" max="3" width="12.7109375" style="14" customWidth="1"/>
    <col min="4" max="4" width="10.42578125" style="14" customWidth="1"/>
    <col min="5" max="5" width="12" style="14" customWidth="1"/>
    <col min="6" max="6" width="11.140625" style="14" customWidth="1"/>
    <col min="7" max="7" width="10.42578125" style="14" customWidth="1"/>
    <col min="8" max="8" width="9" style="14" customWidth="1"/>
    <col min="9" max="9" width="12" style="14" customWidth="1"/>
    <col min="10" max="10" width="12.42578125" style="14" customWidth="1"/>
    <col min="11" max="11" width="10.42578125" style="14" customWidth="1"/>
    <col min="12" max="12" width="12" style="14" customWidth="1"/>
    <col min="13" max="13" width="13" style="14" customWidth="1"/>
    <col min="14" max="14" width="10.42578125" style="14" customWidth="1"/>
    <col min="15" max="15" width="12" style="14" customWidth="1"/>
    <col min="16" max="16" width="13" style="14" customWidth="1"/>
    <col min="17" max="17" width="12.7109375" style="14" customWidth="1"/>
    <col min="18" max="258" width="9.140625" style="14"/>
    <col min="259" max="259" width="24.7109375" style="14" customWidth="1"/>
    <col min="260" max="260" width="0" style="14" hidden="1" customWidth="1"/>
    <col min="261" max="261" width="9.140625" style="14"/>
    <col min="262" max="262" width="11.140625" style="14" customWidth="1"/>
    <col min="263" max="263" width="9" style="14" customWidth="1"/>
    <col min="264" max="264" width="9.140625" style="14"/>
    <col min="265" max="265" width="11" style="14" customWidth="1"/>
    <col min="266" max="266" width="8" style="14" customWidth="1"/>
    <col min="267" max="267" width="13" style="14" customWidth="1"/>
    <col min="268" max="268" width="8" style="14" customWidth="1"/>
    <col min="269" max="269" width="13" style="14" customWidth="1"/>
    <col min="270" max="270" width="10.7109375" style="14" customWidth="1"/>
    <col min="271" max="271" width="0" style="14" hidden="1" customWidth="1"/>
    <col min="272" max="514" width="9.140625" style="14"/>
    <col min="515" max="515" width="24.7109375" style="14" customWidth="1"/>
    <col min="516" max="516" width="0" style="14" hidden="1" customWidth="1"/>
    <col min="517" max="517" width="9.140625" style="14"/>
    <col min="518" max="518" width="11.140625" style="14" customWidth="1"/>
    <col min="519" max="519" width="9" style="14" customWidth="1"/>
    <col min="520" max="520" width="9.140625" style="14"/>
    <col min="521" max="521" width="11" style="14" customWidth="1"/>
    <col min="522" max="522" width="8" style="14" customWidth="1"/>
    <col min="523" max="523" width="13" style="14" customWidth="1"/>
    <col min="524" max="524" width="8" style="14" customWidth="1"/>
    <col min="525" max="525" width="13" style="14" customWidth="1"/>
    <col min="526" max="526" width="10.7109375" style="14" customWidth="1"/>
    <col min="527" max="527" width="0" style="14" hidden="1" customWidth="1"/>
    <col min="528" max="770" width="9.140625" style="14"/>
    <col min="771" max="771" width="24.7109375" style="14" customWidth="1"/>
    <col min="772" max="772" width="0" style="14" hidden="1" customWidth="1"/>
    <col min="773" max="773" width="9.140625" style="14"/>
    <col min="774" max="774" width="11.140625" style="14" customWidth="1"/>
    <col min="775" max="775" width="9" style="14" customWidth="1"/>
    <col min="776" max="776" width="9.140625" style="14"/>
    <col min="777" max="777" width="11" style="14" customWidth="1"/>
    <col min="778" max="778" width="8" style="14" customWidth="1"/>
    <col min="779" max="779" width="13" style="14" customWidth="1"/>
    <col min="780" max="780" width="8" style="14" customWidth="1"/>
    <col min="781" max="781" width="13" style="14" customWidth="1"/>
    <col min="782" max="782" width="10.7109375" style="14" customWidth="1"/>
    <col min="783" max="783" width="0" style="14" hidden="1" customWidth="1"/>
    <col min="784" max="1026" width="9.140625" style="14"/>
    <col min="1027" max="1027" width="24.7109375" style="14" customWidth="1"/>
    <col min="1028" max="1028" width="0" style="14" hidden="1" customWidth="1"/>
    <col min="1029" max="1029" width="9.140625" style="14"/>
    <col min="1030" max="1030" width="11.140625" style="14" customWidth="1"/>
    <col min="1031" max="1031" width="9" style="14" customWidth="1"/>
    <col min="1032" max="1032" width="9.140625" style="14"/>
    <col min="1033" max="1033" width="11" style="14" customWidth="1"/>
    <col min="1034" max="1034" width="8" style="14" customWidth="1"/>
    <col min="1035" max="1035" width="13" style="14" customWidth="1"/>
    <col min="1036" max="1036" width="8" style="14" customWidth="1"/>
    <col min="1037" max="1037" width="13" style="14" customWidth="1"/>
    <col min="1038" max="1038" width="10.7109375" style="14" customWidth="1"/>
    <col min="1039" max="1039" width="0" style="14" hidden="1" customWidth="1"/>
    <col min="1040" max="1282" width="9.140625" style="14"/>
    <col min="1283" max="1283" width="24.7109375" style="14" customWidth="1"/>
    <col min="1284" max="1284" width="0" style="14" hidden="1" customWidth="1"/>
    <col min="1285" max="1285" width="9.140625" style="14"/>
    <col min="1286" max="1286" width="11.140625" style="14" customWidth="1"/>
    <col min="1287" max="1287" width="9" style="14" customWidth="1"/>
    <col min="1288" max="1288" width="9.140625" style="14"/>
    <col min="1289" max="1289" width="11" style="14" customWidth="1"/>
    <col min="1290" max="1290" width="8" style="14" customWidth="1"/>
    <col min="1291" max="1291" width="13" style="14" customWidth="1"/>
    <col min="1292" max="1292" width="8" style="14" customWidth="1"/>
    <col min="1293" max="1293" width="13" style="14" customWidth="1"/>
    <col min="1294" max="1294" width="10.7109375" style="14" customWidth="1"/>
    <col min="1295" max="1295" width="0" style="14" hidden="1" customWidth="1"/>
    <col min="1296" max="1538" width="9.140625" style="14"/>
    <col min="1539" max="1539" width="24.7109375" style="14" customWidth="1"/>
    <col min="1540" max="1540" width="0" style="14" hidden="1" customWidth="1"/>
    <col min="1541" max="1541" width="9.140625" style="14"/>
    <col min="1542" max="1542" width="11.140625" style="14" customWidth="1"/>
    <col min="1543" max="1543" width="9" style="14" customWidth="1"/>
    <col min="1544" max="1544" width="9.140625" style="14"/>
    <col min="1545" max="1545" width="11" style="14" customWidth="1"/>
    <col min="1546" max="1546" width="8" style="14" customWidth="1"/>
    <col min="1547" max="1547" width="13" style="14" customWidth="1"/>
    <col min="1548" max="1548" width="8" style="14" customWidth="1"/>
    <col min="1549" max="1549" width="13" style="14" customWidth="1"/>
    <col min="1550" max="1550" width="10.7109375" style="14" customWidth="1"/>
    <col min="1551" max="1551" width="0" style="14" hidden="1" customWidth="1"/>
    <col min="1552" max="1794" width="9.140625" style="14"/>
    <col min="1795" max="1795" width="24.7109375" style="14" customWidth="1"/>
    <col min="1796" max="1796" width="0" style="14" hidden="1" customWidth="1"/>
    <col min="1797" max="1797" width="9.140625" style="14"/>
    <col min="1798" max="1798" width="11.140625" style="14" customWidth="1"/>
    <col min="1799" max="1799" width="9" style="14" customWidth="1"/>
    <col min="1800" max="1800" width="9.140625" style="14"/>
    <col min="1801" max="1801" width="11" style="14" customWidth="1"/>
    <col min="1802" max="1802" width="8" style="14" customWidth="1"/>
    <col min="1803" max="1803" width="13" style="14" customWidth="1"/>
    <col min="1804" max="1804" width="8" style="14" customWidth="1"/>
    <col min="1805" max="1805" width="13" style="14" customWidth="1"/>
    <col min="1806" max="1806" width="10.7109375" style="14" customWidth="1"/>
    <col min="1807" max="1807" width="0" style="14" hidden="1" customWidth="1"/>
    <col min="1808" max="2050" width="9.140625" style="14"/>
    <col min="2051" max="2051" width="24.7109375" style="14" customWidth="1"/>
    <col min="2052" max="2052" width="0" style="14" hidden="1" customWidth="1"/>
    <col min="2053" max="2053" width="9.140625" style="14"/>
    <col min="2054" max="2054" width="11.140625" style="14" customWidth="1"/>
    <col min="2055" max="2055" width="9" style="14" customWidth="1"/>
    <col min="2056" max="2056" width="9.140625" style="14"/>
    <col min="2057" max="2057" width="11" style="14" customWidth="1"/>
    <col min="2058" max="2058" width="8" style="14" customWidth="1"/>
    <col min="2059" max="2059" width="13" style="14" customWidth="1"/>
    <col min="2060" max="2060" width="8" style="14" customWidth="1"/>
    <col min="2061" max="2061" width="13" style="14" customWidth="1"/>
    <col min="2062" max="2062" width="10.7109375" style="14" customWidth="1"/>
    <col min="2063" max="2063" width="0" style="14" hidden="1" customWidth="1"/>
    <col min="2064" max="2306" width="9.140625" style="14"/>
    <col min="2307" max="2307" width="24.7109375" style="14" customWidth="1"/>
    <col min="2308" max="2308" width="0" style="14" hidden="1" customWidth="1"/>
    <col min="2309" max="2309" width="9.140625" style="14"/>
    <col min="2310" max="2310" width="11.140625" style="14" customWidth="1"/>
    <col min="2311" max="2311" width="9" style="14" customWidth="1"/>
    <col min="2312" max="2312" width="9.140625" style="14"/>
    <col min="2313" max="2313" width="11" style="14" customWidth="1"/>
    <col min="2314" max="2314" width="8" style="14" customWidth="1"/>
    <col min="2315" max="2315" width="13" style="14" customWidth="1"/>
    <col min="2316" max="2316" width="8" style="14" customWidth="1"/>
    <col min="2317" max="2317" width="13" style="14" customWidth="1"/>
    <col min="2318" max="2318" width="10.7109375" style="14" customWidth="1"/>
    <col min="2319" max="2319" width="0" style="14" hidden="1" customWidth="1"/>
    <col min="2320" max="2562" width="9.140625" style="14"/>
    <col min="2563" max="2563" width="24.7109375" style="14" customWidth="1"/>
    <col min="2564" max="2564" width="0" style="14" hidden="1" customWidth="1"/>
    <col min="2565" max="2565" width="9.140625" style="14"/>
    <col min="2566" max="2566" width="11.140625" style="14" customWidth="1"/>
    <col min="2567" max="2567" width="9" style="14" customWidth="1"/>
    <col min="2568" max="2568" width="9.140625" style="14"/>
    <col min="2569" max="2569" width="11" style="14" customWidth="1"/>
    <col min="2570" max="2570" width="8" style="14" customWidth="1"/>
    <col min="2571" max="2571" width="13" style="14" customWidth="1"/>
    <col min="2572" max="2572" width="8" style="14" customWidth="1"/>
    <col min="2573" max="2573" width="13" style="14" customWidth="1"/>
    <col min="2574" max="2574" width="10.7109375" style="14" customWidth="1"/>
    <col min="2575" max="2575" width="0" style="14" hidden="1" customWidth="1"/>
    <col min="2576" max="2818" width="9.140625" style="14"/>
    <col min="2819" max="2819" width="24.7109375" style="14" customWidth="1"/>
    <col min="2820" max="2820" width="0" style="14" hidden="1" customWidth="1"/>
    <col min="2821" max="2821" width="9.140625" style="14"/>
    <col min="2822" max="2822" width="11.140625" style="14" customWidth="1"/>
    <col min="2823" max="2823" width="9" style="14" customWidth="1"/>
    <col min="2824" max="2824" width="9.140625" style="14"/>
    <col min="2825" max="2825" width="11" style="14" customWidth="1"/>
    <col min="2826" max="2826" width="8" style="14" customWidth="1"/>
    <col min="2827" max="2827" width="13" style="14" customWidth="1"/>
    <col min="2828" max="2828" width="8" style="14" customWidth="1"/>
    <col min="2829" max="2829" width="13" style="14" customWidth="1"/>
    <col min="2830" max="2830" width="10.7109375" style="14" customWidth="1"/>
    <col min="2831" max="2831" width="0" style="14" hidden="1" customWidth="1"/>
    <col min="2832" max="3074" width="9.140625" style="14"/>
    <col min="3075" max="3075" width="24.7109375" style="14" customWidth="1"/>
    <col min="3076" max="3076" width="0" style="14" hidden="1" customWidth="1"/>
    <col min="3077" max="3077" width="9.140625" style="14"/>
    <col min="3078" max="3078" width="11.140625" style="14" customWidth="1"/>
    <col min="3079" max="3079" width="9" style="14" customWidth="1"/>
    <col min="3080" max="3080" width="9.140625" style="14"/>
    <col min="3081" max="3081" width="11" style="14" customWidth="1"/>
    <col min="3082" max="3082" width="8" style="14" customWidth="1"/>
    <col min="3083" max="3083" width="13" style="14" customWidth="1"/>
    <col min="3084" max="3084" width="8" style="14" customWidth="1"/>
    <col min="3085" max="3085" width="13" style="14" customWidth="1"/>
    <col min="3086" max="3086" width="10.7109375" style="14" customWidth="1"/>
    <col min="3087" max="3087" width="0" style="14" hidden="1" customWidth="1"/>
    <col min="3088" max="3330" width="9.140625" style="14"/>
    <col min="3331" max="3331" width="24.7109375" style="14" customWidth="1"/>
    <col min="3332" max="3332" width="0" style="14" hidden="1" customWidth="1"/>
    <col min="3333" max="3333" width="9.140625" style="14"/>
    <col min="3334" max="3334" width="11.140625" style="14" customWidth="1"/>
    <col min="3335" max="3335" width="9" style="14" customWidth="1"/>
    <col min="3336" max="3336" width="9.140625" style="14"/>
    <col min="3337" max="3337" width="11" style="14" customWidth="1"/>
    <col min="3338" max="3338" width="8" style="14" customWidth="1"/>
    <col min="3339" max="3339" width="13" style="14" customWidth="1"/>
    <col min="3340" max="3340" width="8" style="14" customWidth="1"/>
    <col min="3341" max="3341" width="13" style="14" customWidth="1"/>
    <col min="3342" max="3342" width="10.7109375" style="14" customWidth="1"/>
    <col min="3343" max="3343" width="0" style="14" hidden="1" customWidth="1"/>
    <col min="3344" max="3586" width="9.140625" style="14"/>
    <col min="3587" max="3587" width="24.7109375" style="14" customWidth="1"/>
    <col min="3588" max="3588" width="0" style="14" hidden="1" customWidth="1"/>
    <col min="3589" max="3589" width="9.140625" style="14"/>
    <col min="3590" max="3590" width="11.140625" style="14" customWidth="1"/>
    <col min="3591" max="3591" width="9" style="14" customWidth="1"/>
    <col min="3592" max="3592" width="9.140625" style="14"/>
    <col min="3593" max="3593" width="11" style="14" customWidth="1"/>
    <col min="3594" max="3594" width="8" style="14" customWidth="1"/>
    <col min="3595" max="3595" width="13" style="14" customWidth="1"/>
    <col min="3596" max="3596" width="8" style="14" customWidth="1"/>
    <col min="3597" max="3597" width="13" style="14" customWidth="1"/>
    <col min="3598" max="3598" width="10.7109375" style="14" customWidth="1"/>
    <col min="3599" max="3599" width="0" style="14" hidden="1" customWidth="1"/>
    <col min="3600" max="3842" width="9.140625" style="14"/>
    <col min="3843" max="3843" width="24.7109375" style="14" customWidth="1"/>
    <col min="3844" max="3844" width="0" style="14" hidden="1" customWidth="1"/>
    <col min="3845" max="3845" width="9.140625" style="14"/>
    <col min="3846" max="3846" width="11.140625" style="14" customWidth="1"/>
    <col min="3847" max="3847" width="9" style="14" customWidth="1"/>
    <col min="3848" max="3848" width="9.140625" style="14"/>
    <col min="3849" max="3849" width="11" style="14" customWidth="1"/>
    <col min="3850" max="3850" width="8" style="14" customWidth="1"/>
    <col min="3851" max="3851" width="13" style="14" customWidth="1"/>
    <col min="3852" max="3852" width="8" style="14" customWidth="1"/>
    <col min="3853" max="3853" width="13" style="14" customWidth="1"/>
    <col min="3854" max="3854" width="10.7109375" style="14" customWidth="1"/>
    <col min="3855" max="3855" width="0" style="14" hidden="1" customWidth="1"/>
    <col min="3856" max="4098" width="9.140625" style="14"/>
    <col min="4099" max="4099" width="24.7109375" style="14" customWidth="1"/>
    <col min="4100" max="4100" width="0" style="14" hidden="1" customWidth="1"/>
    <col min="4101" max="4101" width="9.140625" style="14"/>
    <col min="4102" max="4102" width="11.140625" style="14" customWidth="1"/>
    <col min="4103" max="4103" width="9" style="14" customWidth="1"/>
    <col min="4104" max="4104" width="9.140625" style="14"/>
    <col min="4105" max="4105" width="11" style="14" customWidth="1"/>
    <col min="4106" max="4106" width="8" style="14" customWidth="1"/>
    <col min="4107" max="4107" width="13" style="14" customWidth="1"/>
    <col min="4108" max="4108" width="8" style="14" customWidth="1"/>
    <col min="4109" max="4109" width="13" style="14" customWidth="1"/>
    <col min="4110" max="4110" width="10.7109375" style="14" customWidth="1"/>
    <col min="4111" max="4111" width="0" style="14" hidden="1" customWidth="1"/>
    <col min="4112" max="4354" width="9.140625" style="14"/>
    <col min="4355" max="4355" width="24.7109375" style="14" customWidth="1"/>
    <col min="4356" max="4356" width="0" style="14" hidden="1" customWidth="1"/>
    <col min="4357" max="4357" width="9.140625" style="14"/>
    <col min="4358" max="4358" width="11.140625" style="14" customWidth="1"/>
    <col min="4359" max="4359" width="9" style="14" customWidth="1"/>
    <col min="4360" max="4360" width="9.140625" style="14"/>
    <col min="4361" max="4361" width="11" style="14" customWidth="1"/>
    <col min="4362" max="4362" width="8" style="14" customWidth="1"/>
    <col min="4363" max="4363" width="13" style="14" customWidth="1"/>
    <col min="4364" max="4364" width="8" style="14" customWidth="1"/>
    <col min="4365" max="4365" width="13" style="14" customWidth="1"/>
    <col min="4366" max="4366" width="10.7109375" style="14" customWidth="1"/>
    <col min="4367" max="4367" width="0" style="14" hidden="1" customWidth="1"/>
    <col min="4368" max="4610" width="9.140625" style="14"/>
    <col min="4611" max="4611" width="24.7109375" style="14" customWidth="1"/>
    <col min="4612" max="4612" width="0" style="14" hidden="1" customWidth="1"/>
    <col min="4613" max="4613" width="9.140625" style="14"/>
    <col min="4614" max="4614" width="11.140625" style="14" customWidth="1"/>
    <col min="4615" max="4615" width="9" style="14" customWidth="1"/>
    <col min="4616" max="4616" width="9.140625" style="14"/>
    <col min="4617" max="4617" width="11" style="14" customWidth="1"/>
    <col min="4618" max="4618" width="8" style="14" customWidth="1"/>
    <col min="4619" max="4619" width="13" style="14" customWidth="1"/>
    <col min="4620" max="4620" width="8" style="14" customWidth="1"/>
    <col min="4621" max="4621" width="13" style="14" customWidth="1"/>
    <col min="4622" max="4622" width="10.7109375" style="14" customWidth="1"/>
    <col min="4623" max="4623" width="0" style="14" hidden="1" customWidth="1"/>
    <col min="4624" max="4866" width="9.140625" style="14"/>
    <col min="4867" max="4867" width="24.7109375" style="14" customWidth="1"/>
    <col min="4868" max="4868" width="0" style="14" hidden="1" customWidth="1"/>
    <col min="4869" max="4869" width="9.140625" style="14"/>
    <col min="4870" max="4870" width="11.140625" style="14" customWidth="1"/>
    <col min="4871" max="4871" width="9" style="14" customWidth="1"/>
    <col min="4872" max="4872" width="9.140625" style="14"/>
    <col min="4873" max="4873" width="11" style="14" customWidth="1"/>
    <col min="4874" max="4874" width="8" style="14" customWidth="1"/>
    <col min="4875" max="4875" width="13" style="14" customWidth="1"/>
    <col min="4876" max="4876" width="8" style="14" customWidth="1"/>
    <col min="4877" max="4877" width="13" style="14" customWidth="1"/>
    <col min="4878" max="4878" width="10.7109375" style="14" customWidth="1"/>
    <col min="4879" max="4879" width="0" style="14" hidden="1" customWidth="1"/>
    <col min="4880" max="5122" width="9.140625" style="14"/>
    <col min="5123" max="5123" width="24.7109375" style="14" customWidth="1"/>
    <col min="5124" max="5124" width="0" style="14" hidden="1" customWidth="1"/>
    <col min="5125" max="5125" width="9.140625" style="14"/>
    <col min="5126" max="5126" width="11.140625" style="14" customWidth="1"/>
    <col min="5127" max="5127" width="9" style="14" customWidth="1"/>
    <col min="5128" max="5128" width="9.140625" style="14"/>
    <col min="5129" max="5129" width="11" style="14" customWidth="1"/>
    <col min="5130" max="5130" width="8" style="14" customWidth="1"/>
    <col min="5131" max="5131" width="13" style="14" customWidth="1"/>
    <col min="5132" max="5132" width="8" style="14" customWidth="1"/>
    <col min="5133" max="5133" width="13" style="14" customWidth="1"/>
    <col min="5134" max="5134" width="10.7109375" style="14" customWidth="1"/>
    <col min="5135" max="5135" width="0" style="14" hidden="1" customWidth="1"/>
    <col min="5136" max="5378" width="9.140625" style="14"/>
    <col min="5379" max="5379" width="24.7109375" style="14" customWidth="1"/>
    <col min="5380" max="5380" width="0" style="14" hidden="1" customWidth="1"/>
    <col min="5381" max="5381" width="9.140625" style="14"/>
    <col min="5382" max="5382" width="11.140625" style="14" customWidth="1"/>
    <col min="5383" max="5383" width="9" style="14" customWidth="1"/>
    <col min="5384" max="5384" width="9.140625" style="14"/>
    <col min="5385" max="5385" width="11" style="14" customWidth="1"/>
    <col min="5386" max="5386" width="8" style="14" customWidth="1"/>
    <col min="5387" max="5387" width="13" style="14" customWidth="1"/>
    <col min="5388" max="5388" width="8" style="14" customWidth="1"/>
    <col min="5389" max="5389" width="13" style="14" customWidth="1"/>
    <col min="5390" max="5390" width="10.7109375" style="14" customWidth="1"/>
    <col min="5391" max="5391" width="0" style="14" hidden="1" customWidth="1"/>
    <col min="5392" max="5634" width="9.140625" style="14"/>
    <col min="5635" max="5635" width="24.7109375" style="14" customWidth="1"/>
    <col min="5636" max="5636" width="0" style="14" hidden="1" customWidth="1"/>
    <col min="5637" max="5637" width="9.140625" style="14"/>
    <col min="5638" max="5638" width="11.140625" style="14" customWidth="1"/>
    <col min="5639" max="5639" width="9" style="14" customWidth="1"/>
    <col min="5640" max="5640" width="9.140625" style="14"/>
    <col min="5641" max="5641" width="11" style="14" customWidth="1"/>
    <col min="5642" max="5642" width="8" style="14" customWidth="1"/>
    <col min="5643" max="5643" width="13" style="14" customWidth="1"/>
    <col min="5644" max="5644" width="8" style="14" customWidth="1"/>
    <col min="5645" max="5645" width="13" style="14" customWidth="1"/>
    <col min="5646" max="5646" width="10.7109375" style="14" customWidth="1"/>
    <col min="5647" max="5647" width="0" style="14" hidden="1" customWidth="1"/>
    <col min="5648" max="5890" width="9.140625" style="14"/>
    <col min="5891" max="5891" width="24.7109375" style="14" customWidth="1"/>
    <col min="5892" max="5892" width="0" style="14" hidden="1" customWidth="1"/>
    <col min="5893" max="5893" width="9.140625" style="14"/>
    <col min="5894" max="5894" width="11.140625" style="14" customWidth="1"/>
    <col min="5895" max="5895" width="9" style="14" customWidth="1"/>
    <col min="5896" max="5896" width="9.140625" style="14"/>
    <col min="5897" max="5897" width="11" style="14" customWidth="1"/>
    <col min="5898" max="5898" width="8" style="14" customWidth="1"/>
    <col min="5899" max="5899" width="13" style="14" customWidth="1"/>
    <col min="5900" max="5900" width="8" style="14" customWidth="1"/>
    <col min="5901" max="5901" width="13" style="14" customWidth="1"/>
    <col min="5902" max="5902" width="10.7109375" style="14" customWidth="1"/>
    <col min="5903" max="5903" width="0" style="14" hidden="1" customWidth="1"/>
    <col min="5904" max="6146" width="9.140625" style="14"/>
    <col min="6147" max="6147" width="24.7109375" style="14" customWidth="1"/>
    <col min="6148" max="6148" width="0" style="14" hidden="1" customWidth="1"/>
    <col min="6149" max="6149" width="9.140625" style="14"/>
    <col min="6150" max="6150" width="11.140625" style="14" customWidth="1"/>
    <col min="6151" max="6151" width="9" style="14" customWidth="1"/>
    <col min="6152" max="6152" width="9.140625" style="14"/>
    <col min="6153" max="6153" width="11" style="14" customWidth="1"/>
    <col min="6154" max="6154" width="8" style="14" customWidth="1"/>
    <col min="6155" max="6155" width="13" style="14" customWidth="1"/>
    <col min="6156" max="6156" width="8" style="14" customWidth="1"/>
    <col min="6157" max="6157" width="13" style="14" customWidth="1"/>
    <col min="6158" max="6158" width="10.7109375" style="14" customWidth="1"/>
    <col min="6159" max="6159" width="0" style="14" hidden="1" customWidth="1"/>
    <col min="6160" max="6402" width="9.140625" style="14"/>
    <col min="6403" max="6403" width="24.7109375" style="14" customWidth="1"/>
    <col min="6404" max="6404" width="0" style="14" hidden="1" customWidth="1"/>
    <col min="6405" max="6405" width="9.140625" style="14"/>
    <col min="6406" max="6406" width="11.140625" style="14" customWidth="1"/>
    <col min="6407" max="6407" width="9" style="14" customWidth="1"/>
    <col min="6408" max="6408" width="9.140625" style="14"/>
    <col min="6409" max="6409" width="11" style="14" customWidth="1"/>
    <col min="6410" max="6410" width="8" style="14" customWidth="1"/>
    <col min="6411" max="6411" width="13" style="14" customWidth="1"/>
    <col min="6412" max="6412" width="8" style="14" customWidth="1"/>
    <col min="6413" max="6413" width="13" style="14" customWidth="1"/>
    <col min="6414" max="6414" width="10.7109375" style="14" customWidth="1"/>
    <col min="6415" max="6415" width="0" style="14" hidden="1" customWidth="1"/>
    <col min="6416" max="6658" width="9.140625" style="14"/>
    <col min="6659" max="6659" width="24.7109375" style="14" customWidth="1"/>
    <col min="6660" max="6660" width="0" style="14" hidden="1" customWidth="1"/>
    <col min="6661" max="6661" width="9.140625" style="14"/>
    <col min="6662" max="6662" width="11.140625" style="14" customWidth="1"/>
    <col min="6663" max="6663" width="9" style="14" customWidth="1"/>
    <col min="6664" max="6664" width="9.140625" style="14"/>
    <col min="6665" max="6665" width="11" style="14" customWidth="1"/>
    <col min="6666" max="6666" width="8" style="14" customWidth="1"/>
    <col min="6667" max="6667" width="13" style="14" customWidth="1"/>
    <col min="6668" max="6668" width="8" style="14" customWidth="1"/>
    <col min="6669" max="6669" width="13" style="14" customWidth="1"/>
    <col min="6670" max="6670" width="10.7109375" style="14" customWidth="1"/>
    <col min="6671" max="6671" width="0" style="14" hidden="1" customWidth="1"/>
    <col min="6672" max="6914" width="9.140625" style="14"/>
    <col min="6915" max="6915" width="24.7109375" style="14" customWidth="1"/>
    <col min="6916" max="6916" width="0" style="14" hidden="1" customWidth="1"/>
    <col min="6917" max="6917" width="9.140625" style="14"/>
    <col min="6918" max="6918" width="11.140625" style="14" customWidth="1"/>
    <col min="6919" max="6919" width="9" style="14" customWidth="1"/>
    <col min="6920" max="6920" width="9.140625" style="14"/>
    <col min="6921" max="6921" width="11" style="14" customWidth="1"/>
    <col min="6922" max="6922" width="8" style="14" customWidth="1"/>
    <col min="6923" max="6923" width="13" style="14" customWidth="1"/>
    <col min="6924" max="6924" width="8" style="14" customWidth="1"/>
    <col min="6925" max="6925" width="13" style="14" customWidth="1"/>
    <col min="6926" max="6926" width="10.7109375" style="14" customWidth="1"/>
    <col min="6927" max="6927" width="0" style="14" hidden="1" customWidth="1"/>
    <col min="6928" max="7170" width="9.140625" style="14"/>
    <col min="7171" max="7171" width="24.7109375" style="14" customWidth="1"/>
    <col min="7172" max="7172" width="0" style="14" hidden="1" customWidth="1"/>
    <col min="7173" max="7173" width="9.140625" style="14"/>
    <col min="7174" max="7174" width="11.140625" style="14" customWidth="1"/>
    <col min="7175" max="7175" width="9" style="14" customWidth="1"/>
    <col min="7176" max="7176" width="9.140625" style="14"/>
    <col min="7177" max="7177" width="11" style="14" customWidth="1"/>
    <col min="7178" max="7178" width="8" style="14" customWidth="1"/>
    <col min="7179" max="7179" width="13" style="14" customWidth="1"/>
    <col min="7180" max="7180" width="8" style="14" customWidth="1"/>
    <col min="7181" max="7181" width="13" style="14" customWidth="1"/>
    <col min="7182" max="7182" width="10.7109375" style="14" customWidth="1"/>
    <col min="7183" max="7183" width="0" style="14" hidden="1" customWidth="1"/>
    <col min="7184" max="7426" width="9.140625" style="14"/>
    <col min="7427" max="7427" width="24.7109375" style="14" customWidth="1"/>
    <col min="7428" max="7428" width="0" style="14" hidden="1" customWidth="1"/>
    <col min="7429" max="7429" width="9.140625" style="14"/>
    <col min="7430" max="7430" width="11.140625" style="14" customWidth="1"/>
    <col min="7431" max="7431" width="9" style="14" customWidth="1"/>
    <col min="7432" max="7432" width="9.140625" style="14"/>
    <col min="7433" max="7433" width="11" style="14" customWidth="1"/>
    <col min="7434" max="7434" width="8" style="14" customWidth="1"/>
    <col min="7435" max="7435" width="13" style="14" customWidth="1"/>
    <col min="7436" max="7436" width="8" style="14" customWidth="1"/>
    <col min="7437" max="7437" width="13" style="14" customWidth="1"/>
    <col min="7438" max="7438" width="10.7109375" style="14" customWidth="1"/>
    <col min="7439" max="7439" width="0" style="14" hidden="1" customWidth="1"/>
    <col min="7440" max="7682" width="9.140625" style="14"/>
    <col min="7683" max="7683" width="24.7109375" style="14" customWidth="1"/>
    <col min="7684" max="7684" width="0" style="14" hidden="1" customWidth="1"/>
    <col min="7685" max="7685" width="9.140625" style="14"/>
    <col min="7686" max="7686" width="11.140625" style="14" customWidth="1"/>
    <col min="7687" max="7687" width="9" style="14" customWidth="1"/>
    <col min="7688" max="7688" width="9.140625" style="14"/>
    <col min="7689" max="7689" width="11" style="14" customWidth="1"/>
    <col min="7690" max="7690" width="8" style="14" customWidth="1"/>
    <col min="7691" max="7691" width="13" style="14" customWidth="1"/>
    <col min="7692" max="7692" width="8" style="14" customWidth="1"/>
    <col min="7693" max="7693" width="13" style="14" customWidth="1"/>
    <col min="7694" max="7694" width="10.7109375" style="14" customWidth="1"/>
    <col min="7695" max="7695" width="0" style="14" hidden="1" customWidth="1"/>
    <col min="7696" max="7938" width="9.140625" style="14"/>
    <col min="7939" max="7939" width="24.7109375" style="14" customWidth="1"/>
    <col min="7940" max="7940" width="0" style="14" hidden="1" customWidth="1"/>
    <col min="7941" max="7941" width="9.140625" style="14"/>
    <col min="7942" max="7942" width="11.140625" style="14" customWidth="1"/>
    <col min="7943" max="7943" width="9" style="14" customWidth="1"/>
    <col min="7944" max="7944" width="9.140625" style="14"/>
    <col min="7945" max="7945" width="11" style="14" customWidth="1"/>
    <col min="7946" max="7946" width="8" style="14" customWidth="1"/>
    <col min="7947" max="7947" width="13" style="14" customWidth="1"/>
    <col min="7948" max="7948" width="8" style="14" customWidth="1"/>
    <col min="7949" max="7949" width="13" style="14" customWidth="1"/>
    <col min="7950" max="7950" width="10.7109375" style="14" customWidth="1"/>
    <col min="7951" max="7951" width="0" style="14" hidden="1" customWidth="1"/>
    <col min="7952" max="8194" width="9.140625" style="14"/>
    <col min="8195" max="8195" width="24.7109375" style="14" customWidth="1"/>
    <col min="8196" max="8196" width="0" style="14" hidden="1" customWidth="1"/>
    <col min="8197" max="8197" width="9.140625" style="14"/>
    <col min="8198" max="8198" width="11.140625" style="14" customWidth="1"/>
    <col min="8199" max="8199" width="9" style="14" customWidth="1"/>
    <col min="8200" max="8200" width="9.140625" style="14"/>
    <col min="8201" max="8201" width="11" style="14" customWidth="1"/>
    <col min="8202" max="8202" width="8" style="14" customWidth="1"/>
    <col min="8203" max="8203" width="13" style="14" customWidth="1"/>
    <col min="8204" max="8204" width="8" style="14" customWidth="1"/>
    <col min="8205" max="8205" width="13" style="14" customWidth="1"/>
    <col min="8206" max="8206" width="10.7109375" style="14" customWidth="1"/>
    <col min="8207" max="8207" width="0" style="14" hidden="1" customWidth="1"/>
    <col min="8208" max="8450" width="9.140625" style="14"/>
    <col min="8451" max="8451" width="24.7109375" style="14" customWidth="1"/>
    <col min="8452" max="8452" width="0" style="14" hidden="1" customWidth="1"/>
    <col min="8453" max="8453" width="9.140625" style="14"/>
    <col min="8454" max="8454" width="11.140625" style="14" customWidth="1"/>
    <col min="8455" max="8455" width="9" style="14" customWidth="1"/>
    <col min="8456" max="8456" width="9.140625" style="14"/>
    <col min="8457" max="8457" width="11" style="14" customWidth="1"/>
    <col min="8458" max="8458" width="8" style="14" customWidth="1"/>
    <col min="8459" max="8459" width="13" style="14" customWidth="1"/>
    <col min="8460" max="8460" width="8" style="14" customWidth="1"/>
    <col min="8461" max="8461" width="13" style="14" customWidth="1"/>
    <col min="8462" max="8462" width="10.7109375" style="14" customWidth="1"/>
    <col min="8463" max="8463" width="0" style="14" hidden="1" customWidth="1"/>
    <col min="8464" max="8706" width="9.140625" style="14"/>
    <col min="8707" max="8707" width="24.7109375" style="14" customWidth="1"/>
    <col min="8708" max="8708" width="0" style="14" hidden="1" customWidth="1"/>
    <col min="8709" max="8709" width="9.140625" style="14"/>
    <col min="8710" max="8710" width="11.140625" style="14" customWidth="1"/>
    <col min="8711" max="8711" width="9" style="14" customWidth="1"/>
    <col min="8712" max="8712" width="9.140625" style="14"/>
    <col min="8713" max="8713" width="11" style="14" customWidth="1"/>
    <col min="8714" max="8714" width="8" style="14" customWidth="1"/>
    <col min="8715" max="8715" width="13" style="14" customWidth="1"/>
    <col min="8716" max="8716" width="8" style="14" customWidth="1"/>
    <col min="8717" max="8717" width="13" style="14" customWidth="1"/>
    <col min="8718" max="8718" width="10.7109375" style="14" customWidth="1"/>
    <col min="8719" max="8719" width="0" style="14" hidden="1" customWidth="1"/>
    <col min="8720" max="8962" width="9.140625" style="14"/>
    <col min="8963" max="8963" width="24.7109375" style="14" customWidth="1"/>
    <col min="8964" max="8964" width="0" style="14" hidden="1" customWidth="1"/>
    <col min="8965" max="8965" width="9.140625" style="14"/>
    <col min="8966" max="8966" width="11.140625" style="14" customWidth="1"/>
    <col min="8967" max="8967" width="9" style="14" customWidth="1"/>
    <col min="8968" max="8968" width="9.140625" style="14"/>
    <col min="8969" max="8969" width="11" style="14" customWidth="1"/>
    <col min="8970" max="8970" width="8" style="14" customWidth="1"/>
    <col min="8971" max="8971" width="13" style="14" customWidth="1"/>
    <col min="8972" max="8972" width="8" style="14" customWidth="1"/>
    <col min="8973" max="8973" width="13" style="14" customWidth="1"/>
    <col min="8974" max="8974" width="10.7109375" style="14" customWidth="1"/>
    <col min="8975" max="8975" width="0" style="14" hidden="1" customWidth="1"/>
    <col min="8976" max="9218" width="9.140625" style="14"/>
    <col min="9219" max="9219" width="24.7109375" style="14" customWidth="1"/>
    <col min="9220" max="9220" width="0" style="14" hidden="1" customWidth="1"/>
    <col min="9221" max="9221" width="9.140625" style="14"/>
    <col min="9222" max="9222" width="11.140625" style="14" customWidth="1"/>
    <col min="9223" max="9223" width="9" style="14" customWidth="1"/>
    <col min="9224" max="9224" width="9.140625" style="14"/>
    <col min="9225" max="9225" width="11" style="14" customWidth="1"/>
    <col min="9226" max="9226" width="8" style="14" customWidth="1"/>
    <col min="9227" max="9227" width="13" style="14" customWidth="1"/>
    <col min="9228" max="9228" width="8" style="14" customWidth="1"/>
    <col min="9229" max="9229" width="13" style="14" customWidth="1"/>
    <col min="9230" max="9230" width="10.7109375" style="14" customWidth="1"/>
    <col min="9231" max="9231" width="0" style="14" hidden="1" customWidth="1"/>
    <col min="9232" max="9474" width="9.140625" style="14"/>
    <col min="9475" max="9475" width="24.7109375" style="14" customWidth="1"/>
    <col min="9476" max="9476" width="0" style="14" hidden="1" customWidth="1"/>
    <col min="9477" max="9477" width="9.140625" style="14"/>
    <col min="9478" max="9478" width="11.140625" style="14" customWidth="1"/>
    <col min="9479" max="9479" width="9" style="14" customWidth="1"/>
    <col min="9480" max="9480" width="9.140625" style="14"/>
    <col min="9481" max="9481" width="11" style="14" customWidth="1"/>
    <col min="9482" max="9482" width="8" style="14" customWidth="1"/>
    <col min="9483" max="9483" width="13" style="14" customWidth="1"/>
    <col min="9484" max="9484" width="8" style="14" customWidth="1"/>
    <col min="9485" max="9485" width="13" style="14" customWidth="1"/>
    <col min="9486" max="9486" width="10.7109375" style="14" customWidth="1"/>
    <col min="9487" max="9487" width="0" style="14" hidden="1" customWidth="1"/>
    <col min="9488" max="9730" width="9.140625" style="14"/>
    <col min="9731" max="9731" width="24.7109375" style="14" customWidth="1"/>
    <col min="9732" max="9732" width="0" style="14" hidden="1" customWidth="1"/>
    <col min="9733" max="9733" width="9.140625" style="14"/>
    <col min="9734" max="9734" width="11.140625" style="14" customWidth="1"/>
    <col min="9735" max="9735" width="9" style="14" customWidth="1"/>
    <col min="9736" max="9736" width="9.140625" style="14"/>
    <col min="9737" max="9737" width="11" style="14" customWidth="1"/>
    <col min="9738" max="9738" width="8" style="14" customWidth="1"/>
    <col min="9739" max="9739" width="13" style="14" customWidth="1"/>
    <col min="9740" max="9740" width="8" style="14" customWidth="1"/>
    <col min="9741" max="9741" width="13" style="14" customWidth="1"/>
    <col min="9742" max="9742" width="10.7109375" style="14" customWidth="1"/>
    <col min="9743" max="9743" width="0" style="14" hidden="1" customWidth="1"/>
    <col min="9744" max="9986" width="9.140625" style="14"/>
    <col min="9987" max="9987" width="24.7109375" style="14" customWidth="1"/>
    <col min="9988" max="9988" width="0" style="14" hidden="1" customWidth="1"/>
    <col min="9989" max="9989" width="9.140625" style="14"/>
    <col min="9990" max="9990" width="11.140625" style="14" customWidth="1"/>
    <col min="9991" max="9991" width="9" style="14" customWidth="1"/>
    <col min="9992" max="9992" width="9.140625" style="14"/>
    <col min="9993" max="9993" width="11" style="14" customWidth="1"/>
    <col min="9994" max="9994" width="8" style="14" customWidth="1"/>
    <col min="9995" max="9995" width="13" style="14" customWidth="1"/>
    <col min="9996" max="9996" width="8" style="14" customWidth="1"/>
    <col min="9997" max="9997" width="13" style="14" customWidth="1"/>
    <col min="9998" max="9998" width="10.7109375" style="14" customWidth="1"/>
    <col min="9999" max="9999" width="0" style="14" hidden="1" customWidth="1"/>
    <col min="10000" max="10242" width="9.140625" style="14"/>
    <col min="10243" max="10243" width="24.7109375" style="14" customWidth="1"/>
    <col min="10244" max="10244" width="0" style="14" hidden="1" customWidth="1"/>
    <col min="10245" max="10245" width="9.140625" style="14"/>
    <col min="10246" max="10246" width="11.140625" style="14" customWidth="1"/>
    <col min="10247" max="10247" width="9" style="14" customWidth="1"/>
    <col min="10248" max="10248" width="9.140625" style="14"/>
    <col min="10249" max="10249" width="11" style="14" customWidth="1"/>
    <col min="10250" max="10250" width="8" style="14" customWidth="1"/>
    <col min="10251" max="10251" width="13" style="14" customWidth="1"/>
    <col min="10252" max="10252" width="8" style="14" customWidth="1"/>
    <col min="10253" max="10253" width="13" style="14" customWidth="1"/>
    <col min="10254" max="10254" width="10.7109375" style="14" customWidth="1"/>
    <col min="10255" max="10255" width="0" style="14" hidden="1" customWidth="1"/>
    <col min="10256" max="10498" width="9.140625" style="14"/>
    <col min="10499" max="10499" width="24.7109375" style="14" customWidth="1"/>
    <col min="10500" max="10500" width="0" style="14" hidden="1" customWidth="1"/>
    <col min="10501" max="10501" width="9.140625" style="14"/>
    <col min="10502" max="10502" width="11.140625" style="14" customWidth="1"/>
    <col min="10503" max="10503" width="9" style="14" customWidth="1"/>
    <col min="10504" max="10504" width="9.140625" style="14"/>
    <col min="10505" max="10505" width="11" style="14" customWidth="1"/>
    <col min="10506" max="10506" width="8" style="14" customWidth="1"/>
    <col min="10507" max="10507" width="13" style="14" customWidth="1"/>
    <col min="10508" max="10508" width="8" style="14" customWidth="1"/>
    <col min="10509" max="10509" width="13" style="14" customWidth="1"/>
    <col min="10510" max="10510" width="10.7109375" style="14" customWidth="1"/>
    <col min="10511" max="10511" width="0" style="14" hidden="1" customWidth="1"/>
    <col min="10512" max="10754" width="9.140625" style="14"/>
    <col min="10755" max="10755" width="24.7109375" style="14" customWidth="1"/>
    <col min="10756" max="10756" width="0" style="14" hidden="1" customWidth="1"/>
    <col min="10757" max="10757" width="9.140625" style="14"/>
    <col min="10758" max="10758" width="11.140625" style="14" customWidth="1"/>
    <col min="10759" max="10759" width="9" style="14" customWidth="1"/>
    <col min="10760" max="10760" width="9.140625" style="14"/>
    <col min="10761" max="10761" width="11" style="14" customWidth="1"/>
    <col min="10762" max="10762" width="8" style="14" customWidth="1"/>
    <col min="10763" max="10763" width="13" style="14" customWidth="1"/>
    <col min="10764" max="10764" width="8" style="14" customWidth="1"/>
    <col min="10765" max="10765" width="13" style="14" customWidth="1"/>
    <col min="10766" max="10766" width="10.7109375" style="14" customWidth="1"/>
    <col min="10767" max="10767" width="0" style="14" hidden="1" customWidth="1"/>
    <col min="10768" max="11010" width="9.140625" style="14"/>
    <col min="11011" max="11011" width="24.7109375" style="14" customWidth="1"/>
    <col min="11012" max="11012" width="0" style="14" hidden="1" customWidth="1"/>
    <col min="11013" max="11013" width="9.140625" style="14"/>
    <col min="11014" max="11014" width="11.140625" style="14" customWidth="1"/>
    <col min="11015" max="11015" width="9" style="14" customWidth="1"/>
    <col min="11016" max="11016" width="9.140625" style="14"/>
    <col min="11017" max="11017" width="11" style="14" customWidth="1"/>
    <col min="11018" max="11018" width="8" style="14" customWidth="1"/>
    <col min="11019" max="11019" width="13" style="14" customWidth="1"/>
    <col min="11020" max="11020" width="8" style="14" customWidth="1"/>
    <col min="11021" max="11021" width="13" style="14" customWidth="1"/>
    <col min="11022" max="11022" width="10.7109375" style="14" customWidth="1"/>
    <col min="11023" max="11023" width="0" style="14" hidden="1" customWidth="1"/>
    <col min="11024" max="11266" width="9.140625" style="14"/>
    <col min="11267" max="11267" width="24.7109375" style="14" customWidth="1"/>
    <col min="11268" max="11268" width="0" style="14" hidden="1" customWidth="1"/>
    <col min="11269" max="11269" width="9.140625" style="14"/>
    <col min="11270" max="11270" width="11.140625" style="14" customWidth="1"/>
    <col min="11271" max="11271" width="9" style="14" customWidth="1"/>
    <col min="11272" max="11272" width="9.140625" style="14"/>
    <col min="11273" max="11273" width="11" style="14" customWidth="1"/>
    <col min="11274" max="11274" width="8" style="14" customWidth="1"/>
    <col min="11275" max="11275" width="13" style="14" customWidth="1"/>
    <col min="11276" max="11276" width="8" style="14" customWidth="1"/>
    <col min="11277" max="11277" width="13" style="14" customWidth="1"/>
    <col min="11278" max="11278" width="10.7109375" style="14" customWidth="1"/>
    <col min="11279" max="11279" width="0" style="14" hidden="1" customWidth="1"/>
    <col min="11280" max="11522" width="9.140625" style="14"/>
    <col min="11523" max="11523" width="24.7109375" style="14" customWidth="1"/>
    <col min="11524" max="11524" width="0" style="14" hidden="1" customWidth="1"/>
    <col min="11525" max="11525" width="9.140625" style="14"/>
    <col min="11526" max="11526" width="11.140625" style="14" customWidth="1"/>
    <col min="11527" max="11527" width="9" style="14" customWidth="1"/>
    <col min="11528" max="11528" width="9.140625" style="14"/>
    <col min="11529" max="11529" width="11" style="14" customWidth="1"/>
    <col min="11530" max="11530" width="8" style="14" customWidth="1"/>
    <col min="11531" max="11531" width="13" style="14" customWidth="1"/>
    <col min="11532" max="11532" width="8" style="14" customWidth="1"/>
    <col min="11533" max="11533" width="13" style="14" customWidth="1"/>
    <col min="11534" max="11534" width="10.7109375" style="14" customWidth="1"/>
    <col min="11535" max="11535" width="0" style="14" hidden="1" customWidth="1"/>
    <col min="11536" max="11778" width="9.140625" style="14"/>
    <col min="11779" max="11779" width="24.7109375" style="14" customWidth="1"/>
    <col min="11780" max="11780" width="0" style="14" hidden="1" customWidth="1"/>
    <col min="11781" max="11781" width="9.140625" style="14"/>
    <col min="11782" max="11782" width="11.140625" style="14" customWidth="1"/>
    <col min="11783" max="11783" width="9" style="14" customWidth="1"/>
    <col min="11784" max="11784" width="9.140625" style="14"/>
    <col min="11785" max="11785" width="11" style="14" customWidth="1"/>
    <col min="11786" max="11786" width="8" style="14" customWidth="1"/>
    <col min="11787" max="11787" width="13" style="14" customWidth="1"/>
    <col min="11788" max="11788" width="8" style="14" customWidth="1"/>
    <col min="11789" max="11789" width="13" style="14" customWidth="1"/>
    <col min="11790" max="11790" width="10.7109375" style="14" customWidth="1"/>
    <col min="11791" max="11791" width="0" style="14" hidden="1" customWidth="1"/>
    <col min="11792" max="12034" width="9.140625" style="14"/>
    <col min="12035" max="12035" width="24.7109375" style="14" customWidth="1"/>
    <col min="12036" max="12036" width="0" style="14" hidden="1" customWidth="1"/>
    <col min="12037" max="12037" width="9.140625" style="14"/>
    <col min="12038" max="12038" width="11.140625" style="14" customWidth="1"/>
    <col min="12039" max="12039" width="9" style="14" customWidth="1"/>
    <col min="12040" max="12040" width="9.140625" style="14"/>
    <col min="12041" max="12041" width="11" style="14" customWidth="1"/>
    <col min="12042" max="12042" width="8" style="14" customWidth="1"/>
    <col min="12043" max="12043" width="13" style="14" customWidth="1"/>
    <col min="12044" max="12044" width="8" style="14" customWidth="1"/>
    <col min="12045" max="12045" width="13" style="14" customWidth="1"/>
    <col min="12046" max="12046" width="10.7109375" style="14" customWidth="1"/>
    <col min="12047" max="12047" width="0" style="14" hidden="1" customWidth="1"/>
    <col min="12048" max="12290" width="9.140625" style="14"/>
    <col min="12291" max="12291" width="24.7109375" style="14" customWidth="1"/>
    <col min="12292" max="12292" width="0" style="14" hidden="1" customWidth="1"/>
    <col min="12293" max="12293" width="9.140625" style="14"/>
    <col min="12294" max="12294" width="11.140625" style="14" customWidth="1"/>
    <col min="12295" max="12295" width="9" style="14" customWidth="1"/>
    <col min="12296" max="12296" width="9.140625" style="14"/>
    <col min="12297" max="12297" width="11" style="14" customWidth="1"/>
    <col min="12298" max="12298" width="8" style="14" customWidth="1"/>
    <col min="12299" max="12299" width="13" style="14" customWidth="1"/>
    <col min="12300" max="12300" width="8" style="14" customWidth="1"/>
    <col min="12301" max="12301" width="13" style="14" customWidth="1"/>
    <col min="12302" max="12302" width="10.7109375" style="14" customWidth="1"/>
    <col min="12303" max="12303" width="0" style="14" hidden="1" customWidth="1"/>
    <col min="12304" max="12546" width="9.140625" style="14"/>
    <col min="12547" max="12547" width="24.7109375" style="14" customWidth="1"/>
    <col min="12548" max="12548" width="0" style="14" hidden="1" customWidth="1"/>
    <col min="12549" max="12549" width="9.140625" style="14"/>
    <col min="12550" max="12550" width="11.140625" style="14" customWidth="1"/>
    <col min="12551" max="12551" width="9" style="14" customWidth="1"/>
    <col min="12552" max="12552" width="9.140625" style="14"/>
    <col min="12553" max="12553" width="11" style="14" customWidth="1"/>
    <col min="12554" max="12554" width="8" style="14" customWidth="1"/>
    <col min="12555" max="12555" width="13" style="14" customWidth="1"/>
    <col min="12556" max="12556" width="8" style="14" customWidth="1"/>
    <col min="12557" max="12557" width="13" style="14" customWidth="1"/>
    <col min="12558" max="12558" width="10.7109375" style="14" customWidth="1"/>
    <col min="12559" max="12559" width="0" style="14" hidden="1" customWidth="1"/>
    <col min="12560" max="12802" width="9.140625" style="14"/>
    <col min="12803" max="12803" width="24.7109375" style="14" customWidth="1"/>
    <col min="12804" max="12804" width="0" style="14" hidden="1" customWidth="1"/>
    <col min="12805" max="12805" width="9.140625" style="14"/>
    <col min="12806" max="12806" width="11.140625" style="14" customWidth="1"/>
    <col min="12807" max="12807" width="9" style="14" customWidth="1"/>
    <col min="12808" max="12808" width="9.140625" style="14"/>
    <col min="12809" max="12809" width="11" style="14" customWidth="1"/>
    <col min="12810" max="12810" width="8" style="14" customWidth="1"/>
    <col min="12811" max="12811" width="13" style="14" customWidth="1"/>
    <col min="12812" max="12812" width="8" style="14" customWidth="1"/>
    <col min="12813" max="12813" width="13" style="14" customWidth="1"/>
    <col min="12814" max="12814" width="10.7109375" style="14" customWidth="1"/>
    <col min="12815" max="12815" width="0" style="14" hidden="1" customWidth="1"/>
    <col min="12816" max="13058" width="9.140625" style="14"/>
    <col min="13059" max="13059" width="24.7109375" style="14" customWidth="1"/>
    <col min="13060" max="13060" width="0" style="14" hidden="1" customWidth="1"/>
    <col min="13061" max="13061" width="9.140625" style="14"/>
    <col min="13062" max="13062" width="11.140625" style="14" customWidth="1"/>
    <col min="13063" max="13063" width="9" style="14" customWidth="1"/>
    <col min="13064" max="13064" width="9.140625" style="14"/>
    <col min="13065" max="13065" width="11" style="14" customWidth="1"/>
    <col min="13066" max="13066" width="8" style="14" customWidth="1"/>
    <col min="13067" max="13067" width="13" style="14" customWidth="1"/>
    <col min="13068" max="13068" width="8" style="14" customWidth="1"/>
    <col min="13069" max="13069" width="13" style="14" customWidth="1"/>
    <col min="13070" max="13070" width="10.7109375" style="14" customWidth="1"/>
    <col min="13071" max="13071" width="0" style="14" hidden="1" customWidth="1"/>
    <col min="13072" max="13314" width="9.140625" style="14"/>
    <col min="13315" max="13315" width="24.7109375" style="14" customWidth="1"/>
    <col min="13316" max="13316" width="0" style="14" hidden="1" customWidth="1"/>
    <col min="13317" max="13317" width="9.140625" style="14"/>
    <col min="13318" max="13318" width="11.140625" style="14" customWidth="1"/>
    <col min="13319" max="13319" width="9" style="14" customWidth="1"/>
    <col min="13320" max="13320" width="9.140625" style="14"/>
    <col min="13321" max="13321" width="11" style="14" customWidth="1"/>
    <col min="13322" max="13322" width="8" style="14" customWidth="1"/>
    <col min="13323" max="13323" width="13" style="14" customWidth="1"/>
    <col min="13324" max="13324" width="8" style="14" customWidth="1"/>
    <col min="13325" max="13325" width="13" style="14" customWidth="1"/>
    <col min="13326" max="13326" width="10.7109375" style="14" customWidth="1"/>
    <col min="13327" max="13327" width="0" style="14" hidden="1" customWidth="1"/>
    <col min="13328" max="13570" width="9.140625" style="14"/>
    <col min="13571" max="13571" width="24.7109375" style="14" customWidth="1"/>
    <col min="13572" max="13572" width="0" style="14" hidden="1" customWidth="1"/>
    <col min="13573" max="13573" width="9.140625" style="14"/>
    <col min="13574" max="13574" width="11.140625" style="14" customWidth="1"/>
    <col min="13575" max="13575" width="9" style="14" customWidth="1"/>
    <col min="13576" max="13576" width="9.140625" style="14"/>
    <col min="13577" max="13577" width="11" style="14" customWidth="1"/>
    <col min="13578" max="13578" width="8" style="14" customWidth="1"/>
    <col min="13579" max="13579" width="13" style="14" customWidth="1"/>
    <col min="13580" max="13580" width="8" style="14" customWidth="1"/>
    <col min="13581" max="13581" width="13" style="14" customWidth="1"/>
    <col min="13582" max="13582" width="10.7109375" style="14" customWidth="1"/>
    <col min="13583" max="13583" width="0" style="14" hidden="1" customWidth="1"/>
    <col min="13584" max="13826" width="9.140625" style="14"/>
    <col min="13827" max="13827" width="24.7109375" style="14" customWidth="1"/>
    <col min="13828" max="13828" width="0" style="14" hidden="1" customWidth="1"/>
    <col min="13829" max="13829" width="9.140625" style="14"/>
    <col min="13830" max="13830" width="11.140625" style="14" customWidth="1"/>
    <col min="13831" max="13831" width="9" style="14" customWidth="1"/>
    <col min="13832" max="13832" width="9.140625" style="14"/>
    <col min="13833" max="13833" width="11" style="14" customWidth="1"/>
    <col min="13834" max="13834" width="8" style="14" customWidth="1"/>
    <col min="13835" max="13835" width="13" style="14" customWidth="1"/>
    <col min="13836" max="13836" width="8" style="14" customWidth="1"/>
    <col min="13837" max="13837" width="13" style="14" customWidth="1"/>
    <col min="13838" max="13838" width="10.7109375" style="14" customWidth="1"/>
    <col min="13839" max="13839" width="0" style="14" hidden="1" customWidth="1"/>
    <col min="13840" max="14082" width="9.140625" style="14"/>
    <col min="14083" max="14083" width="24.7109375" style="14" customWidth="1"/>
    <col min="14084" max="14084" width="0" style="14" hidden="1" customWidth="1"/>
    <col min="14085" max="14085" width="9.140625" style="14"/>
    <col min="14086" max="14086" width="11.140625" style="14" customWidth="1"/>
    <col min="14087" max="14087" width="9" style="14" customWidth="1"/>
    <col min="14088" max="14088" width="9.140625" style="14"/>
    <col min="14089" max="14089" width="11" style="14" customWidth="1"/>
    <col min="14090" max="14090" width="8" style="14" customWidth="1"/>
    <col min="14091" max="14091" width="13" style="14" customWidth="1"/>
    <col min="14092" max="14092" width="8" style="14" customWidth="1"/>
    <col min="14093" max="14093" width="13" style="14" customWidth="1"/>
    <col min="14094" max="14094" width="10.7109375" style="14" customWidth="1"/>
    <col min="14095" max="14095" width="0" style="14" hidden="1" customWidth="1"/>
    <col min="14096" max="14338" width="9.140625" style="14"/>
    <col min="14339" max="14339" width="24.7109375" style="14" customWidth="1"/>
    <col min="14340" max="14340" width="0" style="14" hidden="1" customWidth="1"/>
    <col min="14341" max="14341" width="9.140625" style="14"/>
    <col min="14342" max="14342" width="11.140625" style="14" customWidth="1"/>
    <col min="14343" max="14343" width="9" style="14" customWidth="1"/>
    <col min="14344" max="14344" width="9.140625" style="14"/>
    <col min="14345" max="14345" width="11" style="14" customWidth="1"/>
    <col min="14346" max="14346" width="8" style="14" customWidth="1"/>
    <col min="14347" max="14347" width="13" style="14" customWidth="1"/>
    <col min="14348" max="14348" width="8" style="14" customWidth="1"/>
    <col min="14349" max="14349" width="13" style="14" customWidth="1"/>
    <col min="14350" max="14350" width="10.7109375" style="14" customWidth="1"/>
    <col min="14351" max="14351" width="0" style="14" hidden="1" customWidth="1"/>
    <col min="14352" max="14594" width="9.140625" style="14"/>
    <col min="14595" max="14595" width="24.7109375" style="14" customWidth="1"/>
    <col min="14596" max="14596" width="0" style="14" hidden="1" customWidth="1"/>
    <col min="14597" max="14597" width="9.140625" style="14"/>
    <col min="14598" max="14598" width="11.140625" style="14" customWidth="1"/>
    <col min="14599" max="14599" width="9" style="14" customWidth="1"/>
    <col min="14600" max="14600" width="9.140625" style="14"/>
    <col min="14601" max="14601" width="11" style="14" customWidth="1"/>
    <col min="14602" max="14602" width="8" style="14" customWidth="1"/>
    <col min="14603" max="14603" width="13" style="14" customWidth="1"/>
    <col min="14604" max="14604" width="8" style="14" customWidth="1"/>
    <col min="14605" max="14605" width="13" style="14" customWidth="1"/>
    <col min="14606" max="14606" width="10.7109375" style="14" customWidth="1"/>
    <col min="14607" max="14607" width="0" style="14" hidden="1" customWidth="1"/>
    <col min="14608" max="14850" width="9.140625" style="14"/>
    <col min="14851" max="14851" width="24.7109375" style="14" customWidth="1"/>
    <col min="14852" max="14852" width="0" style="14" hidden="1" customWidth="1"/>
    <col min="14853" max="14853" width="9.140625" style="14"/>
    <col min="14854" max="14854" width="11.140625" style="14" customWidth="1"/>
    <col min="14855" max="14855" width="9" style="14" customWidth="1"/>
    <col min="14856" max="14856" width="9.140625" style="14"/>
    <col min="14857" max="14857" width="11" style="14" customWidth="1"/>
    <col min="14858" max="14858" width="8" style="14" customWidth="1"/>
    <col min="14859" max="14859" width="13" style="14" customWidth="1"/>
    <col min="14860" max="14860" width="8" style="14" customWidth="1"/>
    <col min="14861" max="14861" width="13" style="14" customWidth="1"/>
    <col min="14862" max="14862" width="10.7109375" style="14" customWidth="1"/>
    <col min="14863" max="14863" width="0" style="14" hidden="1" customWidth="1"/>
    <col min="14864" max="15106" width="9.140625" style="14"/>
    <col min="15107" max="15107" width="24.7109375" style="14" customWidth="1"/>
    <col min="15108" max="15108" width="0" style="14" hidden="1" customWidth="1"/>
    <col min="15109" max="15109" width="9.140625" style="14"/>
    <col min="15110" max="15110" width="11.140625" style="14" customWidth="1"/>
    <col min="15111" max="15111" width="9" style="14" customWidth="1"/>
    <col min="15112" max="15112" width="9.140625" style="14"/>
    <col min="15113" max="15113" width="11" style="14" customWidth="1"/>
    <col min="15114" max="15114" width="8" style="14" customWidth="1"/>
    <col min="15115" max="15115" width="13" style="14" customWidth="1"/>
    <col min="15116" max="15116" width="8" style="14" customWidth="1"/>
    <col min="15117" max="15117" width="13" style="14" customWidth="1"/>
    <col min="15118" max="15118" width="10.7109375" style="14" customWidth="1"/>
    <col min="15119" max="15119" width="0" style="14" hidden="1" customWidth="1"/>
    <col min="15120" max="15362" width="9.140625" style="14"/>
    <col min="15363" max="15363" width="24.7109375" style="14" customWidth="1"/>
    <col min="15364" max="15364" width="0" style="14" hidden="1" customWidth="1"/>
    <col min="15365" max="15365" width="9.140625" style="14"/>
    <col min="15366" max="15366" width="11.140625" style="14" customWidth="1"/>
    <col min="15367" max="15367" width="9" style="14" customWidth="1"/>
    <col min="15368" max="15368" width="9.140625" style="14"/>
    <col min="15369" max="15369" width="11" style="14" customWidth="1"/>
    <col min="15370" max="15370" width="8" style="14" customWidth="1"/>
    <col min="15371" max="15371" width="13" style="14" customWidth="1"/>
    <col min="15372" max="15372" width="8" style="14" customWidth="1"/>
    <col min="15373" max="15373" width="13" style="14" customWidth="1"/>
    <col min="15374" max="15374" width="10.7109375" style="14" customWidth="1"/>
    <col min="15375" max="15375" width="0" style="14" hidden="1" customWidth="1"/>
    <col min="15376" max="15618" width="9.140625" style="14"/>
    <col min="15619" max="15619" width="24.7109375" style="14" customWidth="1"/>
    <col min="15620" max="15620" width="0" style="14" hidden="1" customWidth="1"/>
    <col min="15621" max="15621" width="9.140625" style="14"/>
    <col min="15622" max="15622" width="11.140625" style="14" customWidth="1"/>
    <col min="15623" max="15623" width="9" style="14" customWidth="1"/>
    <col min="15624" max="15624" width="9.140625" style="14"/>
    <col min="15625" max="15625" width="11" style="14" customWidth="1"/>
    <col min="15626" max="15626" width="8" style="14" customWidth="1"/>
    <col min="15627" max="15627" width="13" style="14" customWidth="1"/>
    <col min="15628" max="15628" width="8" style="14" customWidth="1"/>
    <col min="15629" max="15629" width="13" style="14" customWidth="1"/>
    <col min="15630" max="15630" width="10.7109375" style="14" customWidth="1"/>
    <col min="15631" max="15631" width="0" style="14" hidden="1" customWidth="1"/>
    <col min="15632" max="15874" width="9.140625" style="14"/>
    <col min="15875" max="15875" width="24.7109375" style="14" customWidth="1"/>
    <col min="15876" max="15876" width="0" style="14" hidden="1" customWidth="1"/>
    <col min="15877" max="15877" width="9.140625" style="14"/>
    <col min="15878" max="15878" width="11.140625" style="14" customWidth="1"/>
    <col min="15879" max="15879" width="9" style="14" customWidth="1"/>
    <col min="15880" max="15880" width="9.140625" style="14"/>
    <col min="15881" max="15881" width="11" style="14" customWidth="1"/>
    <col min="15882" max="15882" width="8" style="14" customWidth="1"/>
    <col min="15883" max="15883" width="13" style="14" customWidth="1"/>
    <col min="15884" max="15884" width="8" style="14" customWidth="1"/>
    <col min="15885" max="15885" width="13" style="14" customWidth="1"/>
    <col min="15886" max="15886" width="10.7109375" style="14" customWidth="1"/>
    <col min="15887" max="15887" width="0" style="14" hidden="1" customWidth="1"/>
    <col min="15888" max="16130" width="9.140625" style="14"/>
    <col min="16131" max="16131" width="24.7109375" style="14" customWidth="1"/>
    <col min="16132" max="16132" width="0" style="14" hidden="1" customWidth="1"/>
    <col min="16133" max="16133" width="9.140625" style="14"/>
    <col min="16134" max="16134" width="11.140625" style="14" customWidth="1"/>
    <col min="16135" max="16135" width="9" style="14" customWidth="1"/>
    <col min="16136" max="16136" width="9.140625" style="14"/>
    <col min="16137" max="16137" width="11" style="14" customWidth="1"/>
    <col min="16138" max="16138" width="8" style="14" customWidth="1"/>
    <col min="16139" max="16139" width="13" style="14" customWidth="1"/>
    <col min="16140" max="16140" width="8" style="14" customWidth="1"/>
    <col min="16141" max="16141" width="13" style="14" customWidth="1"/>
    <col min="16142" max="16142" width="10.7109375" style="14" customWidth="1"/>
    <col min="16143" max="16143" width="0" style="14" hidden="1" customWidth="1"/>
    <col min="16144" max="16384" width="9.140625" style="14"/>
  </cols>
  <sheetData>
    <row r="1" spans="1:17" x14ac:dyDescent="0.2">
      <c r="A1" s="1017" t="s">
        <v>401</v>
      </c>
      <c r="B1" s="1017"/>
      <c r="C1" s="1017"/>
      <c r="D1" s="1017"/>
      <c r="E1" s="1017"/>
      <c r="F1" s="1017"/>
      <c r="G1" s="1017"/>
      <c r="H1" s="1017"/>
      <c r="I1" s="1017"/>
      <c r="J1" s="1017"/>
      <c r="K1" s="1017"/>
      <c r="L1" s="1017"/>
      <c r="M1" s="1017"/>
      <c r="N1" s="1017"/>
      <c r="O1" s="1017"/>
      <c r="P1" s="1017"/>
      <c r="Q1" s="1017"/>
    </row>
    <row r="2" spans="1:17" x14ac:dyDescent="0.2">
      <c r="A2" s="15"/>
      <c r="B2" s="15"/>
      <c r="C2" s="15"/>
    </row>
    <row r="3" spans="1:17" ht="12.75" customHeight="1" x14ac:dyDescent="0.2">
      <c r="A3" s="1018" t="s">
        <v>132</v>
      </c>
      <c r="B3" s="1021" t="s">
        <v>255</v>
      </c>
      <c r="C3" s="1021" t="s">
        <v>45</v>
      </c>
      <c r="D3" s="27" t="s">
        <v>2</v>
      </c>
      <c r="E3" s="27"/>
      <c r="F3" s="439">
        <v>186</v>
      </c>
      <c r="G3" s="27" t="s">
        <v>2</v>
      </c>
      <c r="H3" s="440"/>
      <c r="I3" s="38"/>
      <c r="J3" s="439">
        <v>0.67</v>
      </c>
      <c r="K3" s="27" t="s">
        <v>2</v>
      </c>
      <c r="L3" s="27"/>
      <c r="M3" s="439">
        <v>2800</v>
      </c>
      <c r="N3" s="27" t="s">
        <v>2</v>
      </c>
      <c r="O3" s="27"/>
      <c r="P3" s="439">
        <v>30</v>
      </c>
      <c r="Q3" s="1021" t="s">
        <v>188</v>
      </c>
    </row>
    <row r="4" spans="1:17" ht="68.25" customHeight="1" x14ac:dyDescent="0.2">
      <c r="A4" s="1019"/>
      <c r="B4" s="1022"/>
      <c r="C4" s="1022"/>
      <c r="D4" s="1024" t="s">
        <v>3</v>
      </c>
      <c r="E4" s="1024"/>
      <c r="F4" s="1024"/>
      <c r="G4" s="1025" t="s">
        <v>4</v>
      </c>
      <c r="H4" s="1026"/>
      <c r="I4" s="1026"/>
      <c r="J4" s="1027"/>
      <c r="K4" s="1025" t="s">
        <v>265</v>
      </c>
      <c r="L4" s="1026"/>
      <c r="M4" s="1027"/>
      <c r="N4" s="1025" t="s">
        <v>5</v>
      </c>
      <c r="O4" s="1026"/>
      <c r="P4" s="1027"/>
      <c r="Q4" s="1022"/>
    </row>
    <row r="5" spans="1:17" ht="55.5" customHeight="1" x14ac:dyDescent="0.2">
      <c r="A5" s="1020"/>
      <c r="B5" s="1023"/>
      <c r="C5" s="1023"/>
      <c r="D5" s="683" t="s">
        <v>330</v>
      </c>
      <c r="E5" s="379" t="s">
        <v>322</v>
      </c>
      <c r="F5" s="683" t="s">
        <v>6</v>
      </c>
      <c r="G5" s="683" t="s">
        <v>330</v>
      </c>
      <c r="H5" s="683" t="s">
        <v>7</v>
      </c>
      <c r="I5" s="379" t="s">
        <v>322</v>
      </c>
      <c r="J5" s="683" t="s">
        <v>6</v>
      </c>
      <c r="K5" s="683" t="s">
        <v>330</v>
      </c>
      <c r="L5" s="379" t="s">
        <v>322</v>
      </c>
      <c r="M5" s="683" t="s">
        <v>6</v>
      </c>
      <c r="N5" s="683" t="s">
        <v>330</v>
      </c>
      <c r="O5" s="379" t="s">
        <v>322</v>
      </c>
      <c r="P5" s="683" t="s">
        <v>6</v>
      </c>
      <c r="Q5" s="1023"/>
    </row>
    <row r="6" spans="1:17" s="18" customFormat="1" ht="12.75" customHeight="1" x14ac:dyDescent="0.2">
      <c r="A6" s="103" t="str">
        <f>'Факт. объемы'!A7</f>
        <v>МАДОУ ЦРР-детский сад № 2</v>
      </c>
      <c r="B6" s="252">
        <f>'Исходные данные'!P4+'Исходные данные'!Q4+'Исходные данные'!R4</f>
        <v>506</v>
      </c>
      <c r="C6" s="374">
        <v>12</v>
      </c>
      <c r="D6" s="708">
        <v>5</v>
      </c>
      <c r="E6" s="380">
        <f>ROUND(D6/B6*C6,3)</f>
        <v>0.11899999999999999</v>
      </c>
      <c r="F6" s="196">
        <f>ROUND(B6*E6*$F$3,0)</f>
        <v>11200</v>
      </c>
      <c r="G6" s="708">
        <f>D6</f>
        <v>5</v>
      </c>
      <c r="H6" s="196">
        <v>470</v>
      </c>
      <c r="I6" s="382">
        <f>ROUND(G6/B6*H6*C6,2)</f>
        <v>55.73</v>
      </c>
      <c r="J6" s="196">
        <f>ROUND(B6*I6*$J$3,2)</f>
        <v>18893.580000000002</v>
      </c>
      <c r="K6" s="708">
        <f>D6</f>
        <v>5</v>
      </c>
      <c r="L6" s="380">
        <f>ROUND(K6/B6*C6,3)</f>
        <v>0.11899999999999999</v>
      </c>
      <c r="M6" s="196">
        <f>ROUND(B6*L6*$M$3,2)</f>
        <v>168599.2</v>
      </c>
      <c r="N6" s="708">
        <v>1</v>
      </c>
      <c r="O6" s="380">
        <f>ROUND(N6/B6*C6,3)</f>
        <v>2.4E-2</v>
      </c>
      <c r="P6" s="196">
        <f>ROUND(B6*O6*$P$3,2)</f>
        <v>364.32</v>
      </c>
      <c r="Q6" s="196">
        <f>F6+J6+M6+P6</f>
        <v>199057.10000000003</v>
      </c>
    </row>
    <row r="7" spans="1:17" s="18" customFormat="1" ht="12.75" customHeight="1" x14ac:dyDescent="0.2">
      <c r="A7" s="205" t="str">
        <f>'Факт. объемы'!A8</f>
        <v>МАДОУ ЦРР-детский сад № 11</v>
      </c>
      <c r="B7" s="516">
        <f>'Исходные данные'!P5+'Исходные данные'!Q5+'Исходные данные'!R5</f>
        <v>559</v>
      </c>
      <c r="C7" s="374">
        <v>12</v>
      </c>
      <c r="D7" s="708">
        <v>5</v>
      </c>
      <c r="E7" s="380">
        <f t="shared" ref="E7:E14" si="0">ROUND(D7/B7*C7,3)</f>
        <v>0.107</v>
      </c>
      <c r="F7" s="196">
        <f>ROUND(B7*E7*$F$3,2)</f>
        <v>11125.22</v>
      </c>
      <c r="G7" s="708">
        <f t="shared" ref="G7:G14" si="1">D7</f>
        <v>5</v>
      </c>
      <c r="H7" s="196">
        <v>470</v>
      </c>
      <c r="I7" s="382">
        <f t="shared" ref="I7:I13" si="2">ROUND(G7/B7*H7*C7,2)</f>
        <v>50.45</v>
      </c>
      <c r="J7" s="196">
        <f t="shared" ref="J7:J14" si="3">ROUND(B7*I7*$J$3,2)</f>
        <v>18895.04</v>
      </c>
      <c r="K7" s="708">
        <f t="shared" ref="K7:K14" si="4">D7</f>
        <v>5</v>
      </c>
      <c r="L7" s="380">
        <f t="shared" ref="L7:L14" si="5">ROUND(K7/B7*C7,3)</f>
        <v>0.107</v>
      </c>
      <c r="M7" s="196">
        <f t="shared" ref="M7:M14" si="6">ROUND(B7*L7*$M$3,2)</f>
        <v>167476.4</v>
      </c>
      <c r="N7" s="708">
        <v>1</v>
      </c>
      <c r="O7" s="380">
        <f t="shared" ref="O7:O14" si="7">ROUND(N7/B7*C7,3)</f>
        <v>2.1000000000000001E-2</v>
      </c>
      <c r="P7" s="196">
        <f t="shared" ref="P7:P14" si="8">ROUND(B7*O7*$P$3,2)</f>
        <v>352.17</v>
      </c>
      <c r="Q7" s="196">
        <f t="shared" ref="Q7:Q14" si="9">F7+J7+M7+P7</f>
        <v>197848.83000000002</v>
      </c>
    </row>
    <row r="8" spans="1:17" s="18" customFormat="1" ht="12.75" customHeight="1" x14ac:dyDescent="0.2">
      <c r="A8" s="205" t="str">
        <f>'Факт. объемы'!A9</f>
        <v>МАДОУ ЦРР-детский сад № 13</v>
      </c>
      <c r="B8" s="516">
        <f>'Исходные данные'!P6+'Исходные данные'!Q6+'Исходные данные'!R6</f>
        <v>633</v>
      </c>
      <c r="C8" s="374">
        <v>12</v>
      </c>
      <c r="D8" s="708">
        <v>7</v>
      </c>
      <c r="E8" s="380">
        <f t="shared" si="0"/>
        <v>0.13300000000000001</v>
      </c>
      <c r="F8" s="196">
        <f t="shared" ref="F8:F14" si="10">ROUND(B8*E8*$F$3,2)</f>
        <v>15659.15</v>
      </c>
      <c r="G8" s="708">
        <f t="shared" si="1"/>
        <v>7</v>
      </c>
      <c r="H8" s="196">
        <v>470</v>
      </c>
      <c r="I8" s="382">
        <f t="shared" si="2"/>
        <v>62.37</v>
      </c>
      <c r="J8" s="196">
        <f t="shared" si="3"/>
        <v>26451.74</v>
      </c>
      <c r="K8" s="708">
        <f t="shared" si="4"/>
        <v>7</v>
      </c>
      <c r="L8" s="380">
        <f t="shared" si="5"/>
        <v>0.13300000000000001</v>
      </c>
      <c r="M8" s="196">
        <f t="shared" si="6"/>
        <v>235729.2</v>
      </c>
      <c r="N8" s="708">
        <v>1</v>
      </c>
      <c r="O8" s="380">
        <f t="shared" si="7"/>
        <v>1.9E-2</v>
      </c>
      <c r="P8" s="196">
        <f t="shared" si="8"/>
        <v>360.81</v>
      </c>
      <c r="Q8" s="196">
        <f t="shared" si="9"/>
        <v>278200.90000000002</v>
      </c>
    </row>
    <row r="9" spans="1:17" s="18" customFormat="1" ht="25.5" customHeight="1" x14ac:dyDescent="0.2">
      <c r="A9" s="205" t="str">
        <f>'Факт. объемы'!A10</f>
        <v>МАОУ СОШ № 1 структурное подразделение</v>
      </c>
      <c r="B9" s="516">
        <f>'Исходные данные'!P7+'Исходные данные'!Q7+'Исходные данные'!R7</f>
        <v>381</v>
      </c>
      <c r="C9" s="374">
        <v>12</v>
      </c>
      <c r="D9" s="708">
        <v>3</v>
      </c>
      <c r="E9" s="380">
        <f t="shared" si="0"/>
        <v>9.4E-2</v>
      </c>
      <c r="F9" s="196">
        <f t="shared" si="10"/>
        <v>6661.4</v>
      </c>
      <c r="G9" s="708">
        <f t="shared" si="1"/>
        <v>3</v>
      </c>
      <c r="H9" s="196">
        <v>470</v>
      </c>
      <c r="I9" s="382">
        <f t="shared" si="2"/>
        <v>44.41</v>
      </c>
      <c r="J9" s="196">
        <f t="shared" si="3"/>
        <v>11336.54</v>
      </c>
      <c r="K9" s="708">
        <f t="shared" si="4"/>
        <v>3</v>
      </c>
      <c r="L9" s="380">
        <f t="shared" si="5"/>
        <v>9.4E-2</v>
      </c>
      <c r="M9" s="196">
        <f t="shared" si="6"/>
        <v>100279.2</v>
      </c>
      <c r="N9" s="708">
        <v>1</v>
      </c>
      <c r="O9" s="380">
        <f t="shared" si="7"/>
        <v>3.1E-2</v>
      </c>
      <c r="P9" s="196">
        <f t="shared" si="8"/>
        <v>354.33</v>
      </c>
      <c r="Q9" s="196">
        <f t="shared" si="9"/>
        <v>118631.47</v>
      </c>
    </row>
    <row r="10" spans="1:17" s="18" customFormat="1" ht="25.5" customHeight="1" x14ac:dyDescent="0.2">
      <c r="A10" s="205" t="str">
        <f>'Факт. объемы'!A11</f>
        <v>МАОУ СОШ № 2 им.М.И.Грибушина структурное подразделение</v>
      </c>
      <c r="B10" s="516">
        <f>'Исходные данные'!P8+'Исходные данные'!Q8+'Исходные данные'!R8</f>
        <v>288</v>
      </c>
      <c r="C10" s="374">
        <v>12</v>
      </c>
      <c r="D10" s="708">
        <v>4</v>
      </c>
      <c r="E10" s="380">
        <f t="shared" si="0"/>
        <v>0.16700000000000001</v>
      </c>
      <c r="F10" s="196">
        <f t="shared" si="10"/>
        <v>8945.86</v>
      </c>
      <c r="G10" s="708">
        <f t="shared" si="1"/>
        <v>4</v>
      </c>
      <c r="H10" s="196">
        <v>470</v>
      </c>
      <c r="I10" s="382">
        <f t="shared" si="2"/>
        <v>78.33</v>
      </c>
      <c r="J10" s="196">
        <f t="shared" si="3"/>
        <v>15114.56</v>
      </c>
      <c r="K10" s="708">
        <f t="shared" si="4"/>
        <v>4</v>
      </c>
      <c r="L10" s="380">
        <f t="shared" si="5"/>
        <v>0.16700000000000001</v>
      </c>
      <c r="M10" s="196">
        <f t="shared" si="6"/>
        <v>134668.79999999999</v>
      </c>
      <c r="N10" s="708">
        <v>1</v>
      </c>
      <c r="O10" s="380">
        <f t="shared" si="7"/>
        <v>4.2000000000000003E-2</v>
      </c>
      <c r="P10" s="196">
        <f t="shared" si="8"/>
        <v>362.88</v>
      </c>
      <c r="Q10" s="196">
        <f t="shared" si="9"/>
        <v>159092.09999999998</v>
      </c>
    </row>
    <row r="11" spans="1:17" s="18" customFormat="1" ht="25.5" customHeight="1" x14ac:dyDescent="0.2">
      <c r="A11" s="205" t="str">
        <f>'Факт. объемы'!A12</f>
        <v>МАОУ СОШ № 10 структурное подразделение</v>
      </c>
      <c r="B11" s="516">
        <f>'Исходные данные'!P9+'Исходные данные'!Q9+'Исходные данные'!R9</f>
        <v>262</v>
      </c>
      <c r="C11" s="374">
        <v>12</v>
      </c>
      <c r="D11" s="708">
        <v>3</v>
      </c>
      <c r="E11" s="380">
        <f t="shared" si="0"/>
        <v>0.13700000000000001</v>
      </c>
      <c r="F11" s="196">
        <f t="shared" si="10"/>
        <v>6676.28</v>
      </c>
      <c r="G11" s="708">
        <f t="shared" si="1"/>
        <v>3</v>
      </c>
      <c r="H11" s="196">
        <v>470</v>
      </c>
      <c r="I11" s="382">
        <f t="shared" si="2"/>
        <v>64.58</v>
      </c>
      <c r="J11" s="196">
        <f t="shared" si="3"/>
        <v>11336.37</v>
      </c>
      <c r="K11" s="708">
        <f t="shared" si="4"/>
        <v>3</v>
      </c>
      <c r="L11" s="380">
        <f t="shared" si="5"/>
        <v>0.13700000000000001</v>
      </c>
      <c r="M11" s="196">
        <f t="shared" si="6"/>
        <v>100503.2</v>
      </c>
      <c r="N11" s="708">
        <v>1</v>
      </c>
      <c r="O11" s="380">
        <f t="shared" si="7"/>
        <v>4.5999999999999999E-2</v>
      </c>
      <c r="P11" s="196">
        <f t="shared" si="8"/>
        <v>361.56</v>
      </c>
      <c r="Q11" s="196">
        <f t="shared" si="9"/>
        <v>118877.41</v>
      </c>
    </row>
    <row r="12" spans="1:17" s="18" customFormat="1" ht="25.5" customHeight="1" x14ac:dyDescent="0.2">
      <c r="A12" s="205" t="str">
        <f>'Факт. объемы'!A13</f>
        <v>МАОУ СОШ № 13 структурное подразделение</v>
      </c>
      <c r="B12" s="516">
        <f>'Исходные данные'!P10+'Исходные данные'!Q10+'Исходные данные'!R10</f>
        <v>224</v>
      </c>
      <c r="C12" s="374">
        <v>12</v>
      </c>
      <c r="D12" s="708">
        <v>2</v>
      </c>
      <c r="E12" s="380">
        <f t="shared" si="0"/>
        <v>0.107</v>
      </c>
      <c r="F12" s="196">
        <f t="shared" si="10"/>
        <v>4458.05</v>
      </c>
      <c r="G12" s="708">
        <f>D12</f>
        <v>2</v>
      </c>
      <c r="H12" s="196">
        <v>470</v>
      </c>
      <c r="I12" s="382">
        <f t="shared" si="2"/>
        <v>50.36</v>
      </c>
      <c r="J12" s="196">
        <f t="shared" si="3"/>
        <v>7558.03</v>
      </c>
      <c r="K12" s="708">
        <f t="shared" si="4"/>
        <v>2</v>
      </c>
      <c r="L12" s="380">
        <f t="shared" si="5"/>
        <v>0.107</v>
      </c>
      <c r="M12" s="196">
        <f t="shared" si="6"/>
        <v>67110.399999999994</v>
      </c>
      <c r="N12" s="708">
        <v>1</v>
      </c>
      <c r="O12" s="380">
        <f t="shared" si="7"/>
        <v>5.3999999999999999E-2</v>
      </c>
      <c r="P12" s="196">
        <f t="shared" si="8"/>
        <v>362.88</v>
      </c>
      <c r="Q12" s="196">
        <f t="shared" si="9"/>
        <v>79489.36</v>
      </c>
    </row>
    <row r="13" spans="1:17" s="18" customFormat="1" ht="25.5" customHeight="1" x14ac:dyDescent="0.2">
      <c r="A13" s="205" t="str">
        <f>'Факт. объемы'!A14</f>
        <v>Гимназия № 16 структурное подразделение</v>
      </c>
      <c r="B13" s="516">
        <f>'Исходные данные'!P11+'Исходные данные'!Q11+'Исходные данные'!R11</f>
        <v>456</v>
      </c>
      <c r="C13" s="374">
        <v>12</v>
      </c>
      <c r="D13" s="708">
        <v>4</v>
      </c>
      <c r="E13" s="380">
        <f t="shared" si="0"/>
        <v>0.105</v>
      </c>
      <c r="F13" s="196">
        <f t="shared" si="10"/>
        <v>8905.68</v>
      </c>
      <c r="G13" s="708">
        <f t="shared" si="1"/>
        <v>4</v>
      </c>
      <c r="H13" s="196">
        <v>470</v>
      </c>
      <c r="I13" s="382">
        <f t="shared" si="2"/>
        <v>49.47</v>
      </c>
      <c r="J13" s="196">
        <f t="shared" si="3"/>
        <v>15114.07</v>
      </c>
      <c r="K13" s="708">
        <f t="shared" si="4"/>
        <v>4</v>
      </c>
      <c r="L13" s="380">
        <f t="shared" si="5"/>
        <v>0.105</v>
      </c>
      <c r="M13" s="196">
        <f t="shared" si="6"/>
        <v>134064</v>
      </c>
      <c r="N13" s="708">
        <v>1</v>
      </c>
      <c r="O13" s="380">
        <f t="shared" si="7"/>
        <v>2.5999999999999999E-2</v>
      </c>
      <c r="P13" s="196">
        <f t="shared" si="8"/>
        <v>355.68</v>
      </c>
      <c r="Q13" s="196">
        <f t="shared" si="9"/>
        <v>158439.43</v>
      </c>
    </row>
    <row r="14" spans="1:17" s="18" customFormat="1" ht="25.5" customHeight="1" x14ac:dyDescent="0.2">
      <c r="A14" s="205" t="str">
        <f>'Факт. объемы'!A15</f>
        <v>МАОУ ООШ № 17 с кадетскими классами структурное подразделение</v>
      </c>
      <c r="B14" s="516">
        <f>'Исходные данные'!P12+'Исходные данные'!Q12+'Исходные данные'!R12</f>
        <v>189</v>
      </c>
      <c r="C14" s="374">
        <v>12</v>
      </c>
      <c r="D14" s="708">
        <v>2</v>
      </c>
      <c r="E14" s="380">
        <f t="shared" si="0"/>
        <v>0.127</v>
      </c>
      <c r="F14" s="196">
        <f t="shared" si="10"/>
        <v>4464.5600000000004</v>
      </c>
      <c r="G14" s="708">
        <f t="shared" si="1"/>
        <v>2</v>
      </c>
      <c r="H14" s="196">
        <v>470</v>
      </c>
      <c r="I14" s="382">
        <f>ROUND(G14/B14*H14*C14,2)</f>
        <v>59.68</v>
      </c>
      <c r="J14" s="196">
        <f t="shared" si="3"/>
        <v>7557.28</v>
      </c>
      <c r="K14" s="708">
        <f t="shared" si="4"/>
        <v>2</v>
      </c>
      <c r="L14" s="380">
        <f t="shared" si="5"/>
        <v>0.127</v>
      </c>
      <c r="M14" s="196">
        <f t="shared" si="6"/>
        <v>67208.399999999994</v>
      </c>
      <c r="N14" s="708">
        <v>1</v>
      </c>
      <c r="O14" s="380">
        <f t="shared" si="7"/>
        <v>6.3E-2</v>
      </c>
      <c r="P14" s="196">
        <f t="shared" si="8"/>
        <v>357.21</v>
      </c>
      <c r="Q14" s="196">
        <f t="shared" si="9"/>
        <v>79587.45</v>
      </c>
    </row>
    <row r="15" spans="1:17" s="107" customFormat="1" x14ac:dyDescent="0.2">
      <c r="A15" s="104" t="s">
        <v>9</v>
      </c>
      <c r="B15" s="294">
        <f>SUM(B6:B14)</f>
        <v>3498</v>
      </c>
      <c r="C15" s="294"/>
      <c r="D15" s="105">
        <f>SUM(D6:D14)</f>
        <v>35</v>
      </c>
      <c r="E15" s="381">
        <f>ROUND(MEDIAN(E6:E14),3)</f>
        <v>0.11899999999999999</v>
      </c>
      <c r="F15" s="106">
        <f>SUM(F6:F14)</f>
        <v>78096.200000000012</v>
      </c>
      <c r="G15" s="105">
        <f>SUM(G6:G14)</f>
        <v>35</v>
      </c>
      <c r="H15" s="106">
        <f>SUM(H6:H14)</f>
        <v>4230</v>
      </c>
      <c r="I15" s="381">
        <f>ROUND(MEDIAN(I6:I14),3)</f>
        <v>55.73</v>
      </c>
      <c r="J15" s="106">
        <f>SUM(J6:J14)</f>
        <v>132257.21</v>
      </c>
      <c r="K15" s="105">
        <f>SUM(K6:K14)</f>
        <v>35</v>
      </c>
      <c r="L15" s="381">
        <f>ROUND(MEDIAN(L6:L14),3)</f>
        <v>0.11899999999999999</v>
      </c>
      <c r="M15" s="106">
        <f>SUM(M6:M14)</f>
        <v>1175638.7999999998</v>
      </c>
      <c r="N15" s="105">
        <f>SUM(N6:N14)</f>
        <v>9</v>
      </c>
      <c r="O15" s="381">
        <f>ROUND(MEDIAN(O6:O14),3)</f>
        <v>3.1E-2</v>
      </c>
      <c r="P15" s="106">
        <f>SUM(P6:P14)</f>
        <v>3231.8399999999997</v>
      </c>
      <c r="Q15" s="106">
        <f>SUM(Q6:Q14)</f>
        <v>1389224.05</v>
      </c>
    </row>
    <row r="16" spans="1:17" x14ac:dyDescent="0.2">
      <c r="A16" s="2"/>
      <c r="B16" s="2"/>
      <c r="C16" s="2"/>
      <c r="D16" s="49"/>
      <c r="E16" s="49"/>
      <c r="F16" s="49"/>
      <c r="G16" s="49"/>
      <c r="H16" s="49"/>
      <c r="I16" s="58"/>
      <c r="J16" s="59"/>
      <c r="K16" s="58"/>
      <c r="L16" s="58"/>
      <c r="M16" s="49"/>
      <c r="N16" s="58"/>
      <c r="O16" s="138" t="s">
        <v>234</v>
      </c>
      <c r="P16" s="140"/>
      <c r="Q16" s="141">
        <f>ROUND(E15*F3+I15*J3+L15*M3+O15*P3,2)</f>
        <v>393.6</v>
      </c>
    </row>
    <row r="17" spans="1:15" x14ac:dyDescent="0.2">
      <c r="A17" s="2"/>
      <c r="B17" s="2"/>
      <c r="C17" s="2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</row>
    <row r="21" spans="1:15" x14ac:dyDescent="0.2">
      <c r="A21" s="14" t="s">
        <v>431</v>
      </c>
    </row>
  </sheetData>
  <mergeCells count="9">
    <mergeCell ref="A1:Q1"/>
    <mergeCell ref="A3:A5"/>
    <mergeCell ref="Q3:Q5"/>
    <mergeCell ref="D4:F4"/>
    <mergeCell ref="G4:J4"/>
    <mergeCell ref="K4:M4"/>
    <mergeCell ref="N4:P4"/>
    <mergeCell ref="B3:B5"/>
    <mergeCell ref="C3:C5"/>
  </mergeCells>
  <pageMargins left="0.75" right="0.75" top="1" bottom="1" header="0.5" footer="0.5"/>
  <pageSetup paperSize="9" scale="60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tabColor rgb="FF92D050"/>
    <pageSetUpPr fitToPage="1"/>
  </sheetPr>
  <dimension ref="A1:N55"/>
  <sheetViews>
    <sheetView view="pageBreakPreview" topLeftCell="A7" zoomScale="80" zoomScaleNormal="110" zoomScaleSheetLayoutView="80" workbookViewId="0">
      <selection activeCell="L4" sqref="L4"/>
    </sheetView>
  </sheetViews>
  <sheetFormatPr defaultColWidth="8.85546875" defaultRowHeight="12.75" x14ac:dyDescent="0.2"/>
  <cols>
    <col min="1" max="1" width="36.7109375" style="14" customWidth="1"/>
    <col min="2" max="2" width="10" style="14" customWidth="1"/>
    <col min="3" max="3" width="8.85546875" style="14" customWidth="1"/>
    <col min="4" max="4" width="11.85546875" style="14" bestFit="1" customWidth="1"/>
    <col min="5" max="5" width="13.85546875" style="14" customWidth="1"/>
    <col min="6" max="6" width="14.28515625" style="14" customWidth="1"/>
    <col min="7" max="7" width="32.28515625" style="14" customWidth="1"/>
    <col min="8" max="8" width="10.5703125" style="14" customWidth="1"/>
    <col min="9" max="9" width="8.85546875" style="14" customWidth="1"/>
    <col min="10" max="10" width="8.85546875" style="14"/>
    <col min="11" max="11" width="13.85546875" style="14" customWidth="1"/>
    <col min="12" max="12" width="26.7109375" style="14" customWidth="1"/>
    <col min="13" max="13" width="21.7109375" style="14" customWidth="1"/>
    <col min="14" max="250" width="8.85546875" style="14"/>
    <col min="251" max="251" width="29.7109375" style="14" customWidth="1"/>
    <col min="252" max="252" width="8.85546875" style="14"/>
    <col min="253" max="253" width="14.140625" style="14" customWidth="1"/>
    <col min="254" max="254" width="8.85546875" style="14"/>
    <col min="255" max="255" width="13.85546875" style="14" customWidth="1"/>
    <col min="256" max="256" width="10" style="14" customWidth="1"/>
    <col min="257" max="506" width="8.85546875" style="14"/>
    <col min="507" max="507" width="29.7109375" style="14" customWidth="1"/>
    <col min="508" max="508" width="8.85546875" style="14"/>
    <col min="509" max="509" width="14.140625" style="14" customWidth="1"/>
    <col min="510" max="510" width="8.85546875" style="14"/>
    <col min="511" max="511" width="13.85546875" style="14" customWidth="1"/>
    <col min="512" max="512" width="10" style="14" customWidth="1"/>
    <col min="513" max="762" width="8.85546875" style="14"/>
    <col min="763" max="763" width="29.7109375" style="14" customWidth="1"/>
    <col min="764" max="764" width="8.85546875" style="14"/>
    <col min="765" max="765" width="14.140625" style="14" customWidth="1"/>
    <col min="766" max="766" width="8.85546875" style="14"/>
    <col min="767" max="767" width="13.85546875" style="14" customWidth="1"/>
    <col min="768" max="768" width="10" style="14" customWidth="1"/>
    <col min="769" max="1018" width="8.85546875" style="14"/>
    <col min="1019" max="1019" width="29.7109375" style="14" customWidth="1"/>
    <col min="1020" max="1020" width="8.85546875" style="14"/>
    <col min="1021" max="1021" width="14.140625" style="14" customWidth="1"/>
    <col min="1022" max="1022" width="8.85546875" style="14"/>
    <col min="1023" max="1023" width="13.85546875" style="14" customWidth="1"/>
    <col min="1024" max="1024" width="10" style="14" customWidth="1"/>
    <col min="1025" max="1274" width="8.85546875" style="14"/>
    <col min="1275" max="1275" width="29.7109375" style="14" customWidth="1"/>
    <col min="1276" max="1276" width="8.85546875" style="14"/>
    <col min="1277" max="1277" width="14.140625" style="14" customWidth="1"/>
    <col min="1278" max="1278" width="8.85546875" style="14"/>
    <col min="1279" max="1279" width="13.85546875" style="14" customWidth="1"/>
    <col min="1280" max="1280" width="10" style="14" customWidth="1"/>
    <col min="1281" max="1530" width="8.85546875" style="14"/>
    <col min="1531" max="1531" width="29.7109375" style="14" customWidth="1"/>
    <col min="1532" max="1532" width="8.85546875" style="14"/>
    <col min="1533" max="1533" width="14.140625" style="14" customWidth="1"/>
    <col min="1534" max="1534" width="8.85546875" style="14"/>
    <col min="1535" max="1535" width="13.85546875" style="14" customWidth="1"/>
    <col min="1536" max="1536" width="10" style="14" customWidth="1"/>
    <col min="1537" max="1786" width="8.85546875" style="14"/>
    <col min="1787" max="1787" width="29.7109375" style="14" customWidth="1"/>
    <col min="1788" max="1788" width="8.85546875" style="14"/>
    <col min="1789" max="1789" width="14.140625" style="14" customWidth="1"/>
    <col min="1790" max="1790" width="8.85546875" style="14"/>
    <col min="1791" max="1791" width="13.85546875" style="14" customWidth="1"/>
    <col min="1792" max="1792" width="10" style="14" customWidth="1"/>
    <col min="1793" max="2042" width="8.85546875" style="14"/>
    <col min="2043" max="2043" width="29.7109375" style="14" customWidth="1"/>
    <col min="2044" max="2044" width="8.85546875" style="14"/>
    <col min="2045" max="2045" width="14.140625" style="14" customWidth="1"/>
    <col min="2046" max="2046" width="8.85546875" style="14"/>
    <col min="2047" max="2047" width="13.85546875" style="14" customWidth="1"/>
    <col min="2048" max="2048" width="10" style="14" customWidth="1"/>
    <col min="2049" max="2298" width="8.85546875" style="14"/>
    <col min="2299" max="2299" width="29.7109375" style="14" customWidth="1"/>
    <col min="2300" max="2300" width="8.85546875" style="14"/>
    <col min="2301" max="2301" width="14.140625" style="14" customWidth="1"/>
    <col min="2302" max="2302" width="8.85546875" style="14"/>
    <col min="2303" max="2303" width="13.85546875" style="14" customWidth="1"/>
    <col min="2304" max="2304" width="10" style="14" customWidth="1"/>
    <col min="2305" max="2554" width="8.85546875" style="14"/>
    <col min="2555" max="2555" width="29.7109375" style="14" customWidth="1"/>
    <col min="2556" max="2556" width="8.85546875" style="14"/>
    <col min="2557" max="2557" width="14.140625" style="14" customWidth="1"/>
    <col min="2558" max="2558" width="8.85546875" style="14"/>
    <col min="2559" max="2559" width="13.85546875" style="14" customWidth="1"/>
    <col min="2560" max="2560" width="10" style="14" customWidth="1"/>
    <col min="2561" max="2810" width="8.85546875" style="14"/>
    <col min="2811" max="2811" width="29.7109375" style="14" customWidth="1"/>
    <col min="2812" max="2812" width="8.85546875" style="14"/>
    <col min="2813" max="2813" width="14.140625" style="14" customWidth="1"/>
    <col min="2814" max="2814" width="8.85546875" style="14"/>
    <col min="2815" max="2815" width="13.85546875" style="14" customWidth="1"/>
    <col min="2816" max="2816" width="10" style="14" customWidth="1"/>
    <col min="2817" max="3066" width="8.85546875" style="14"/>
    <col min="3067" max="3067" width="29.7109375" style="14" customWidth="1"/>
    <col min="3068" max="3068" width="8.85546875" style="14"/>
    <col min="3069" max="3069" width="14.140625" style="14" customWidth="1"/>
    <col min="3070" max="3070" width="8.85546875" style="14"/>
    <col min="3071" max="3071" width="13.85546875" style="14" customWidth="1"/>
    <col min="3072" max="3072" width="10" style="14" customWidth="1"/>
    <col min="3073" max="3322" width="8.85546875" style="14"/>
    <col min="3323" max="3323" width="29.7109375" style="14" customWidth="1"/>
    <col min="3324" max="3324" width="8.85546875" style="14"/>
    <col min="3325" max="3325" width="14.140625" style="14" customWidth="1"/>
    <col min="3326" max="3326" width="8.85546875" style="14"/>
    <col min="3327" max="3327" width="13.85546875" style="14" customWidth="1"/>
    <col min="3328" max="3328" width="10" style="14" customWidth="1"/>
    <col min="3329" max="3578" width="8.85546875" style="14"/>
    <col min="3579" max="3579" width="29.7109375" style="14" customWidth="1"/>
    <col min="3580" max="3580" width="8.85546875" style="14"/>
    <col min="3581" max="3581" width="14.140625" style="14" customWidth="1"/>
    <col min="3582" max="3582" width="8.85546875" style="14"/>
    <col min="3583" max="3583" width="13.85546875" style="14" customWidth="1"/>
    <col min="3584" max="3584" width="10" style="14" customWidth="1"/>
    <col min="3585" max="3834" width="8.85546875" style="14"/>
    <col min="3835" max="3835" width="29.7109375" style="14" customWidth="1"/>
    <col min="3836" max="3836" width="8.85546875" style="14"/>
    <col min="3837" max="3837" width="14.140625" style="14" customWidth="1"/>
    <col min="3838" max="3838" width="8.85546875" style="14"/>
    <col min="3839" max="3839" width="13.85546875" style="14" customWidth="1"/>
    <col min="3840" max="3840" width="10" style="14" customWidth="1"/>
    <col min="3841" max="4090" width="8.85546875" style="14"/>
    <col min="4091" max="4091" width="29.7109375" style="14" customWidth="1"/>
    <col min="4092" max="4092" width="8.85546875" style="14"/>
    <col min="4093" max="4093" width="14.140625" style="14" customWidth="1"/>
    <col min="4094" max="4094" width="8.85546875" style="14"/>
    <col min="4095" max="4095" width="13.85546875" style="14" customWidth="1"/>
    <col min="4096" max="4096" width="10" style="14" customWidth="1"/>
    <col min="4097" max="4346" width="8.85546875" style="14"/>
    <col min="4347" max="4347" width="29.7109375" style="14" customWidth="1"/>
    <col min="4348" max="4348" width="8.85546875" style="14"/>
    <col min="4349" max="4349" width="14.140625" style="14" customWidth="1"/>
    <col min="4350" max="4350" width="8.85546875" style="14"/>
    <col min="4351" max="4351" width="13.85546875" style="14" customWidth="1"/>
    <col min="4352" max="4352" width="10" style="14" customWidth="1"/>
    <col min="4353" max="4602" width="8.85546875" style="14"/>
    <col min="4603" max="4603" width="29.7109375" style="14" customWidth="1"/>
    <col min="4604" max="4604" width="8.85546875" style="14"/>
    <col min="4605" max="4605" width="14.140625" style="14" customWidth="1"/>
    <col min="4606" max="4606" width="8.85546875" style="14"/>
    <col min="4607" max="4607" width="13.85546875" style="14" customWidth="1"/>
    <col min="4608" max="4608" width="10" style="14" customWidth="1"/>
    <col min="4609" max="4858" width="8.85546875" style="14"/>
    <col min="4859" max="4859" width="29.7109375" style="14" customWidth="1"/>
    <col min="4860" max="4860" width="8.85546875" style="14"/>
    <col min="4861" max="4861" width="14.140625" style="14" customWidth="1"/>
    <col min="4862" max="4862" width="8.85546875" style="14"/>
    <col min="4863" max="4863" width="13.85546875" style="14" customWidth="1"/>
    <col min="4864" max="4864" width="10" style="14" customWidth="1"/>
    <col min="4865" max="5114" width="8.85546875" style="14"/>
    <col min="5115" max="5115" width="29.7109375" style="14" customWidth="1"/>
    <col min="5116" max="5116" width="8.85546875" style="14"/>
    <col min="5117" max="5117" width="14.140625" style="14" customWidth="1"/>
    <col min="5118" max="5118" width="8.85546875" style="14"/>
    <col min="5119" max="5119" width="13.85546875" style="14" customWidth="1"/>
    <col min="5120" max="5120" width="10" style="14" customWidth="1"/>
    <col min="5121" max="5370" width="8.85546875" style="14"/>
    <col min="5371" max="5371" width="29.7109375" style="14" customWidth="1"/>
    <col min="5372" max="5372" width="8.85546875" style="14"/>
    <col min="5373" max="5373" width="14.140625" style="14" customWidth="1"/>
    <col min="5374" max="5374" width="8.85546875" style="14"/>
    <col min="5375" max="5375" width="13.85546875" style="14" customWidth="1"/>
    <col min="5376" max="5376" width="10" style="14" customWidth="1"/>
    <col min="5377" max="5626" width="8.85546875" style="14"/>
    <col min="5627" max="5627" width="29.7109375" style="14" customWidth="1"/>
    <col min="5628" max="5628" width="8.85546875" style="14"/>
    <col min="5629" max="5629" width="14.140625" style="14" customWidth="1"/>
    <col min="5630" max="5630" width="8.85546875" style="14"/>
    <col min="5631" max="5631" width="13.85546875" style="14" customWidth="1"/>
    <col min="5632" max="5632" width="10" style="14" customWidth="1"/>
    <col min="5633" max="5882" width="8.85546875" style="14"/>
    <col min="5883" max="5883" width="29.7109375" style="14" customWidth="1"/>
    <col min="5884" max="5884" width="8.85546875" style="14"/>
    <col min="5885" max="5885" width="14.140625" style="14" customWidth="1"/>
    <col min="5886" max="5886" width="8.85546875" style="14"/>
    <col min="5887" max="5887" width="13.85546875" style="14" customWidth="1"/>
    <col min="5888" max="5888" width="10" style="14" customWidth="1"/>
    <col min="5889" max="6138" width="8.85546875" style="14"/>
    <col min="6139" max="6139" width="29.7109375" style="14" customWidth="1"/>
    <col min="6140" max="6140" width="8.85546875" style="14"/>
    <col min="6141" max="6141" width="14.140625" style="14" customWidth="1"/>
    <col min="6142" max="6142" width="8.85546875" style="14"/>
    <col min="6143" max="6143" width="13.85546875" style="14" customWidth="1"/>
    <col min="6144" max="6144" width="10" style="14" customWidth="1"/>
    <col min="6145" max="6394" width="8.85546875" style="14"/>
    <col min="6395" max="6395" width="29.7109375" style="14" customWidth="1"/>
    <col min="6396" max="6396" width="8.85546875" style="14"/>
    <col min="6397" max="6397" width="14.140625" style="14" customWidth="1"/>
    <col min="6398" max="6398" width="8.85546875" style="14"/>
    <col min="6399" max="6399" width="13.85546875" style="14" customWidth="1"/>
    <col min="6400" max="6400" width="10" style="14" customWidth="1"/>
    <col min="6401" max="6650" width="8.85546875" style="14"/>
    <col min="6651" max="6651" width="29.7109375" style="14" customWidth="1"/>
    <col min="6652" max="6652" width="8.85546875" style="14"/>
    <col min="6653" max="6653" width="14.140625" style="14" customWidth="1"/>
    <col min="6654" max="6654" width="8.85546875" style="14"/>
    <col min="6655" max="6655" width="13.85546875" style="14" customWidth="1"/>
    <col min="6656" max="6656" width="10" style="14" customWidth="1"/>
    <col min="6657" max="6906" width="8.85546875" style="14"/>
    <col min="6907" max="6907" width="29.7109375" style="14" customWidth="1"/>
    <col min="6908" max="6908" width="8.85546875" style="14"/>
    <col min="6909" max="6909" width="14.140625" style="14" customWidth="1"/>
    <col min="6910" max="6910" width="8.85546875" style="14"/>
    <col min="6911" max="6911" width="13.85546875" style="14" customWidth="1"/>
    <col min="6912" max="6912" width="10" style="14" customWidth="1"/>
    <col min="6913" max="7162" width="8.85546875" style="14"/>
    <col min="7163" max="7163" width="29.7109375" style="14" customWidth="1"/>
    <col min="7164" max="7164" width="8.85546875" style="14"/>
    <col min="7165" max="7165" width="14.140625" style="14" customWidth="1"/>
    <col min="7166" max="7166" width="8.85546875" style="14"/>
    <col min="7167" max="7167" width="13.85546875" style="14" customWidth="1"/>
    <col min="7168" max="7168" width="10" style="14" customWidth="1"/>
    <col min="7169" max="7418" width="8.85546875" style="14"/>
    <col min="7419" max="7419" width="29.7109375" style="14" customWidth="1"/>
    <col min="7420" max="7420" width="8.85546875" style="14"/>
    <col min="7421" max="7421" width="14.140625" style="14" customWidth="1"/>
    <col min="7422" max="7422" width="8.85546875" style="14"/>
    <col min="7423" max="7423" width="13.85546875" style="14" customWidth="1"/>
    <col min="7424" max="7424" width="10" style="14" customWidth="1"/>
    <col min="7425" max="7674" width="8.85546875" style="14"/>
    <col min="7675" max="7675" width="29.7109375" style="14" customWidth="1"/>
    <col min="7676" max="7676" width="8.85546875" style="14"/>
    <col min="7677" max="7677" width="14.140625" style="14" customWidth="1"/>
    <col min="7678" max="7678" width="8.85546875" style="14"/>
    <col min="7679" max="7679" width="13.85546875" style="14" customWidth="1"/>
    <col min="7680" max="7680" width="10" style="14" customWidth="1"/>
    <col min="7681" max="7930" width="8.85546875" style="14"/>
    <col min="7931" max="7931" width="29.7109375" style="14" customWidth="1"/>
    <col min="7932" max="7932" width="8.85546875" style="14"/>
    <col min="7933" max="7933" width="14.140625" style="14" customWidth="1"/>
    <col min="7934" max="7934" width="8.85546875" style="14"/>
    <col min="7935" max="7935" width="13.85546875" style="14" customWidth="1"/>
    <col min="7936" max="7936" width="10" style="14" customWidth="1"/>
    <col min="7937" max="8186" width="8.85546875" style="14"/>
    <col min="8187" max="8187" width="29.7109375" style="14" customWidth="1"/>
    <col min="8188" max="8188" width="8.85546875" style="14"/>
    <col min="8189" max="8189" width="14.140625" style="14" customWidth="1"/>
    <col min="8190" max="8190" width="8.85546875" style="14"/>
    <col min="8191" max="8191" width="13.85546875" style="14" customWidth="1"/>
    <col min="8192" max="8192" width="10" style="14" customWidth="1"/>
    <col min="8193" max="8442" width="8.85546875" style="14"/>
    <col min="8443" max="8443" width="29.7109375" style="14" customWidth="1"/>
    <col min="8444" max="8444" width="8.85546875" style="14"/>
    <col min="8445" max="8445" width="14.140625" style="14" customWidth="1"/>
    <col min="8446" max="8446" width="8.85546875" style="14"/>
    <col min="8447" max="8447" width="13.85546875" style="14" customWidth="1"/>
    <col min="8448" max="8448" width="10" style="14" customWidth="1"/>
    <col min="8449" max="8698" width="8.85546875" style="14"/>
    <col min="8699" max="8699" width="29.7109375" style="14" customWidth="1"/>
    <col min="8700" max="8700" width="8.85546875" style="14"/>
    <col min="8701" max="8701" width="14.140625" style="14" customWidth="1"/>
    <col min="8702" max="8702" width="8.85546875" style="14"/>
    <col min="8703" max="8703" width="13.85546875" style="14" customWidth="1"/>
    <col min="8704" max="8704" width="10" style="14" customWidth="1"/>
    <col min="8705" max="8954" width="8.85546875" style="14"/>
    <col min="8955" max="8955" width="29.7109375" style="14" customWidth="1"/>
    <col min="8956" max="8956" width="8.85546875" style="14"/>
    <col min="8957" max="8957" width="14.140625" style="14" customWidth="1"/>
    <col min="8958" max="8958" width="8.85546875" style="14"/>
    <col min="8959" max="8959" width="13.85546875" style="14" customWidth="1"/>
    <col min="8960" max="8960" width="10" style="14" customWidth="1"/>
    <col min="8961" max="9210" width="8.85546875" style="14"/>
    <col min="9211" max="9211" width="29.7109375" style="14" customWidth="1"/>
    <col min="9212" max="9212" width="8.85546875" style="14"/>
    <col min="9213" max="9213" width="14.140625" style="14" customWidth="1"/>
    <col min="9214" max="9214" width="8.85546875" style="14"/>
    <col min="9215" max="9215" width="13.85546875" style="14" customWidth="1"/>
    <col min="9216" max="9216" width="10" style="14" customWidth="1"/>
    <col min="9217" max="9466" width="8.85546875" style="14"/>
    <col min="9467" max="9467" width="29.7109375" style="14" customWidth="1"/>
    <col min="9468" max="9468" width="8.85546875" style="14"/>
    <col min="9469" max="9469" width="14.140625" style="14" customWidth="1"/>
    <col min="9470" max="9470" width="8.85546875" style="14"/>
    <col min="9471" max="9471" width="13.85546875" style="14" customWidth="1"/>
    <col min="9472" max="9472" width="10" style="14" customWidth="1"/>
    <col min="9473" max="9722" width="8.85546875" style="14"/>
    <col min="9723" max="9723" width="29.7109375" style="14" customWidth="1"/>
    <col min="9724" max="9724" width="8.85546875" style="14"/>
    <col min="9725" max="9725" width="14.140625" style="14" customWidth="1"/>
    <col min="9726" max="9726" width="8.85546875" style="14"/>
    <col min="9727" max="9727" width="13.85546875" style="14" customWidth="1"/>
    <col min="9728" max="9728" width="10" style="14" customWidth="1"/>
    <col min="9729" max="9978" width="8.85546875" style="14"/>
    <col min="9979" max="9979" width="29.7109375" style="14" customWidth="1"/>
    <col min="9980" max="9980" width="8.85546875" style="14"/>
    <col min="9981" max="9981" width="14.140625" style="14" customWidth="1"/>
    <col min="9982" max="9982" width="8.85546875" style="14"/>
    <col min="9983" max="9983" width="13.85546875" style="14" customWidth="1"/>
    <col min="9984" max="9984" width="10" style="14" customWidth="1"/>
    <col min="9985" max="10234" width="8.85546875" style="14"/>
    <col min="10235" max="10235" width="29.7109375" style="14" customWidth="1"/>
    <col min="10236" max="10236" width="8.85546875" style="14"/>
    <col min="10237" max="10237" width="14.140625" style="14" customWidth="1"/>
    <col min="10238" max="10238" width="8.85546875" style="14"/>
    <col min="10239" max="10239" width="13.85546875" style="14" customWidth="1"/>
    <col min="10240" max="10240" width="10" style="14" customWidth="1"/>
    <col min="10241" max="10490" width="8.85546875" style="14"/>
    <col min="10491" max="10491" width="29.7109375" style="14" customWidth="1"/>
    <col min="10492" max="10492" width="8.85546875" style="14"/>
    <col min="10493" max="10493" width="14.140625" style="14" customWidth="1"/>
    <col min="10494" max="10494" width="8.85546875" style="14"/>
    <col min="10495" max="10495" width="13.85546875" style="14" customWidth="1"/>
    <col min="10496" max="10496" width="10" style="14" customWidth="1"/>
    <col min="10497" max="10746" width="8.85546875" style="14"/>
    <col min="10747" max="10747" width="29.7109375" style="14" customWidth="1"/>
    <col min="10748" max="10748" width="8.85546875" style="14"/>
    <col min="10749" max="10749" width="14.140625" style="14" customWidth="1"/>
    <col min="10750" max="10750" width="8.85546875" style="14"/>
    <col min="10751" max="10751" width="13.85546875" style="14" customWidth="1"/>
    <col min="10752" max="10752" width="10" style="14" customWidth="1"/>
    <col min="10753" max="11002" width="8.85546875" style="14"/>
    <col min="11003" max="11003" width="29.7109375" style="14" customWidth="1"/>
    <col min="11004" max="11004" width="8.85546875" style="14"/>
    <col min="11005" max="11005" width="14.140625" style="14" customWidth="1"/>
    <col min="11006" max="11006" width="8.85546875" style="14"/>
    <col min="11007" max="11007" width="13.85546875" style="14" customWidth="1"/>
    <col min="11008" max="11008" width="10" style="14" customWidth="1"/>
    <col min="11009" max="11258" width="8.85546875" style="14"/>
    <col min="11259" max="11259" width="29.7109375" style="14" customWidth="1"/>
    <col min="11260" max="11260" width="8.85546875" style="14"/>
    <col min="11261" max="11261" width="14.140625" style="14" customWidth="1"/>
    <col min="11262" max="11262" width="8.85546875" style="14"/>
    <col min="11263" max="11263" width="13.85546875" style="14" customWidth="1"/>
    <col min="11264" max="11264" width="10" style="14" customWidth="1"/>
    <col min="11265" max="11514" width="8.85546875" style="14"/>
    <col min="11515" max="11515" width="29.7109375" style="14" customWidth="1"/>
    <col min="11516" max="11516" width="8.85546875" style="14"/>
    <col min="11517" max="11517" width="14.140625" style="14" customWidth="1"/>
    <col min="11518" max="11518" width="8.85546875" style="14"/>
    <col min="11519" max="11519" width="13.85546875" style="14" customWidth="1"/>
    <col min="11520" max="11520" width="10" style="14" customWidth="1"/>
    <col min="11521" max="11770" width="8.85546875" style="14"/>
    <col min="11771" max="11771" width="29.7109375" style="14" customWidth="1"/>
    <col min="11772" max="11772" width="8.85546875" style="14"/>
    <col min="11773" max="11773" width="14.140625" style="14" customWidth="1"/>
    <col min="11774" max="11774" width="8.85546875" style="14"/>
    <col min="11775" max="11775" width="13.85546875" style="14" customWidth="1"/>
    <col min="11776" max="11776" width="10" style="14" customWidth="1"/>
    <col min="11777" max="12026" width="8.85546875" style="14"/>
    <col min="12027" max="12027" width="29.7109375" style="14" customWidth="1"/>
    <col min="12028" max="12028" width="8.85546875" style="14"/>
    <col min="12029" max="12029" width="14.140625" style="14" customWidth="1"/>
    <col min="12030" max="12030" width="8.85546875" style="14"/>
    <col min="12031" max="12031" width="13.85546875" style="14" customWidth="1"/>
    <col min="12032" max="12032" width="10" style="14" customWidth="1"/>
    <col min="12033" max="12282" width="8.85546875" style="14"/>
    <col min="12283" max="12283" width="29.7109375" style="14" customWidth="1"/>
    <col min="12284" max="12284" width="8.85546875" style="14"/>
    <col min="12285" max="12285" width="14.140625" style="14" customWidth="1"/>
    <col min="12286" max="12286" width="8.85546875" style="14"/>
    <col min="12287" max="12287" width="13.85546875" style="14" customWidth="1"/>
    <col min="12288" max="12288" width="10" style="14" customWidth="1"/>
    <col min="12289" max="12538" width="8.85546875" style="14"/>
    <col min="12539" max="12539" width="29.7109375" style="14" customWidth="1"/>
    <col min="12540" max="12540" width="8.85546875" style="14"/>
    <col min="12541" max="12541" width="14.140625" style="14" customWidth="1"/>
    <col min="12542" max="12542" width="8.85546875" style="14"/>
    <col min="12543" max="12543" width="13.85546875" style="14" customWidth="1"/>
    <col min="12544" max="12544" width="10" style="14" customWidth="1"/>
    <col min="12545" max="12794" width="8.85546875" style="14"/>
    <col min="12795" max="12795" width="29.7109375" style="14" customWidth="1"/>
    <col min="12796" max="12796" width="8.85546875" style="14"/>
    <col min="12797" max="12797" width="14.140625" style="14" customWidth="1"/>
    <col min="12798" max="12798" width="8.85546875" style="14"/>
    <col min="12799" max="12799" width="13.85546875" style="14" customWidth="1"/>
    <col min="12800" max="12800" width="10" style="14" customWidth="1"/>
    <col min="12801" max="13050" width="8.85546875" style="14"/>
    <col min="13051" max="13051" width="29.7109375" style="14" customWidth="1"/>
    <col min="13052" max="13052" width="8.85546875" style="14"/>
    <col min="13053" max="13053" width="14.140625" style="14" customWidth="1"/>
    <col min="13054" max="13054" width="8.85546875" style="14"/>
    <col min="13055" max="13055" width="13.85546875" style="14" customWidth="1"/>
    <col min="13056" max="13056" width="10" style="14" customWidth="1"/>
    <col min="13057" max="13306" width="8.85546875" style="14"/>
    <col min="13307" max="13307" width="29.7109375" style="14" customWidth="1"/>
    <col min="13308" max="13308" width="8.85546875" style="14"/>
    <col min="13309" max="13309" width="14.140625" style="14" customWidth="1"/>
    <col min="13310" max="13310" width="8.85546875" style="14"/>
    <col min="13311" max="13311" width="13.85546875" style="14" customWidth="1"/>
    <col min="13312" max="13312" width="10" style="14" customWidth="1"/>
    <col min="13313" max="13562" width="8.85546875" style="14"/>
    <col min="13563" max="13563" width="29.7109375" style="14" customWidth="1"/>
    <col min="13564" max="13564" width="8.85546875" style="14"/>
    <col min="13565" max="13565" width="14.140625" style="14" customWidth="1"/>
    <col min="13566" max="13566" width="8.85546875" style="14"/>
    <col min="13567" max="13567" width="13.85546875" style="14" customWidth="1"/>
    <col min="13568" max="13568" width="10" style="14" customWidth="1"/>
    <col min="13569" max="13818" width="8.85546875" style="14"/>
    <col min="13819" max="13819" width="29.7109375" style="14" customWidth="1"/>
    <col min="13820" max="13820" width="8.85546875" style="14"/>
    <col min="13821" max="13821" width="14.140625" style="14" customWidth="1"/>
    <col min="13822" max="13822" width="8.85546875" style="14"/>
    <col min="13823" max="13823" width="13.85546875" style="14" customWidth="1"/>
    <col min="13824" max="13824" width="10" style="14" customWidth="1"/>
    <col min="13825" max="14074" width="8.85546875" style="14"/>
    <col min="14075" max="14075" width="29.7109375" style="14" customWidth="1"/>
    <col min="14076" max="14076" width="8.85546875" style="14"/>
    <col min="14077" max="14077" width="14.140625" style="14" customWidth="1"/>
    <col min="14078" max="14078" width="8.85546875" style="14"/>
    <col min="14079" max="14079" width="13.85546875" style="14" customWidth="1"/>
    <col min="14080" max="14080" width="10" style="14" customWidth="1"/>
    <col min="14081" max="14330" width="8.85546875" style="14"/>
    <col min="14331" max="14331" width="29.7109375" style="14" customWidth="1"/>
    <col min="14332" max="14332" width="8.85546875" style="14"/>
    <col min="14333" max="14333" width="14.140625" style="14" customWidth="1"/>
    <col min="14334" max="14334" width="8.85546875" style="14"/>
    <col min="14335" max="14335" width="13.85546875" style="14" customWidth="1"/>
    <col min="14336" max="14336" width="10" style="14" customWidth="1"/>
    <col min="14337" max="14586" width="8.85546875" style="14"/>
    <col min="14587" max="14587" width="29.7109375" style="14" customWidth="1"/>
    <col min="14588" max="14588" width="8.85546875" style="14"/>
    <col min="14589" max="14589" width="14.140625" style="14" customWidth="1"/>
    <col min="14590" max="14590" width="8.85546875" style="14"/>
    <col min="14591" max="14591" width="13.85546875" style="14" customWidth="1"/>
    <col min="14592" max="14592" width="10" style="14" customWidth="1"/>
    <col min="14593" max="14842" width="8.85546875" style="14"/>
    <col min="14843" max="14843" width="29.7109375" style="14" customWidth="1"/>
    <col min="14844" max="14844" width="8.85546875" style="14"/>
    <col min="14845" max="14845" width="14.140625" style="14" customWidth="1"/>
    <col min="14846" max="14846" width="8.85546875" style="14"/>
    <col min="14847" max="14847" width="13.85546875" style="14" customWidth="1"/>
    <col min="14848" max="14848" width="10" style="14" customWidth="1"/>
    <col min="14849" max="15098" width="8.85546875" style="14"/>
    <col min="15099" max="15099" width="29.7109375" style="14" customWidth="1"/>
    <col min="15100" max="15100" width="8.85546875" style="14"/>
    <col min="15101" max="15101" width="14.140625" style="14" customWidth="1"/>
    <col min="15102" max="15102" width="8.85546875" style="14"/>
    <col min="15103" max="15103" width="13.85546875" style="14" customWidth="1"/>
    <col min="15104" max="15104" width="10" style="14" customWidth="1"/>
    <col min="15105" max="15354" width="8.85546875" style="14"/>
    <col min="15355" max="15355" width="29.7109375" style="14" customWidth="1"/>
    <col min="15356" max="15356" width="8.85546875" style="14"/>
    <col min="15357" max="15357" width="14.140625" style="14" customWidth="1"/>
    <col min="15358" max="15358" width="8.85546875" style="14"/>
    <col min="15359" max="15359" width="13.85546875" style="14" customWidth="1"/>
    <col min="15360" max="15360" width="10" style="14" customWidth="1"/>
    <col min="15361" max="15610" width="8.85546875" style="14"/>
    <col min="15611" max="15611" width="29.7109375" style="14" customWidth="1"/>
    <col min="15612" max="15612" width="8.85546875" style="14"/>
    <col min="15613" max="15613" width="14.140625" style="14" customWidth="1"/>
    <col min="15614" max="15614" width="8.85546875" style="14"/>
    <col min="15615" max="15615" width="13.85546875" style="14" customWidth="1"/>
    <col min="15616" max="15616" width="10" style="14" customWidth="1"/>
    <col min="15617" max="15866" width="8.85546875" style="14"/>
    <col min="15867" max="15867" width="29.7109375" style="14" customWidth="1"/>
    <col min="15868" max="15868" width="8.85546875" style="14"/>
    <col min="15869" max="15869" width="14.140625" style="14" customWidth="1"/>
    <col min="15870" max="15870" width="8.85546875" style="14"/>
    <col min="15871" max="15871" width="13.85546875" style="14" customWidth="1"/>
    <col min="15872" max="15872" width="10" style="14" customWidth="1"/>
    <col min="15873" max="16122" width="8.85546875" style="14"/>
    <col min="16123" max="16123" width="29.7109375" style="14" customWidth="1"/>
    <col min="16124" max="16124" width="8.85546875" style="14"/>
    <col min="16125" max="16125" width="14.140625" style="14" customWidth="1"/>
    <col min="16126" max="16126" width="8.85546875" style="14"/>
    <col min="16127" max="16127" width="13.85546875" style="14" customWidth="1"/>
    <col min="16128" max="16128" width="10" style="14" customWidth="1"/>
    <col min="16129" max="16384" width="8.85546875" style="14"/>
  </cols>
  <sheetData>
    <row r="1" spans="1:14" x14ac:dyDescent="0.2">
      <c r="L1" s="953" t="s">
        <v>744</v>
      </c>
    </row>
    <row r="2" spans="1:14" ht="15" customHeight="1" x14ac:dyDescent="0.2">
      <c r="A2" s="1193" t="s">
        <v>707</v>
      </c>
      <c r="B2" s="1194"/>
      <c r="C2" s="1194"/>
      <c r="D2" s="1194"/>
      <c r="E2" s="1194"/>
      <c r="F2" s="958"/>
      <c r="G2" s="1193" t="s">
        <v>708</v>
      </c>
      <c r="H2" s="1194"/>
      <c r="I2" s="1194"/>
      <c r="J2" s="1194"/>
      <c r="K2" s="1194"/>
      <c r="L2" s="14" t="s">
        <v>261</v>
      </c>
      <c r="M2" s="14" t="s">
        <v>262</v>
      </c>
    </row>
    <row r="3" spans="1:14" x14ac:dyDescent="0.2">
      <c r="A3" s="1194"/>
      <c r="B3" s="1194"/>
      <c r="C3" s="1194"/>
      <c r="D3" s="1194"/>
      <c r="E3" s="1194"/>
      <c r="G3" s="1194"/>
      <c r="H3" s="1194"/>
      <c r="I3" s="1194"/>
      <c r="J3" s="1194"/>
      <c r="K3" s="1194"/>
      <c r="L3" s="953">
        <v>25</v>
      </c>
      <c r="M3" s="953">
        <v>27</v>
      </c>
    </row>
    <row r="4" spans="1:14" ht="14.25" x14ac:dyDescent="0.2">
      <c r="A4" s="42"/>
      <c r="D4" s="43" t="s">
        <v>747</v>
      </c>
      <c r="G4" s="42"/>
      <c r="J4" s="43"/>
      <c r="L4" s="15">
        <v>20</v>
      </c>
      <c r="M4" s="15">
        <v>26</v>
      </c>
      <c r="N4" s="14" t="s">
        <v>747</v>
      </c>
    </row>
    <row r="5" spans="1:14" ht="60" customHeight="1" x14ac:dyDescent="0.2">
      <c r="A5" s="32" t="s">
        <v>171</v>
      </c>
      <c r="B5" s="185" t="s">
        <v>99</v>
      </c>
      <c r="C5" s="60" t="s">
        <v>316</v>
      </c>
      <c r="D5" s="959" t="s">
        <v>40</v>
      </c>
      <c r="E5" s="31" t="s">
        <v>6</v>
      </c>
      <c r="G5" s="362" t="s">
        <v>171</v>
      </c>
      <c r="H5" s="362" t="s">
        <v>99</v>
      </c>
      <c r="I5" s="362" t="s">
        <v>316</v>
      </c>
      <c r="J5" s="952" t="s">
        <v>40</v>
      </c>
      <c r="K5" s="31" t="s">
        <v>6</v>
      </c>
    </row>
    <row r="6" spans="1:14" x14ac:dyDescent="0.2">
      <c r="A6" s="35" t="s">
        <v>108</v>
      </c>
      <c r="B6" s="36" t="s">
        <v>73</v>
      </c>
      <c r="C6" s="36">
        <f>4*12</f>
        <v>48</v>
      </c>
      <c r="D6" s="230">
        <f>ROUND(19,2)</f>
        <v>19</v>
      </c>
      <c r="E6" s="45">
        <f>ROUND(D6*C6,2)</f>
        <v>912</v>
      </c>
      <c r="G6" s="35" t="s">
        <v>108</v>
      </c>
      <c r="H6" s="36" t="s">
        <v>73</v>
      </c>
      <c r="I6" s="36">
        <f>4*12</f>
        <v>48</v>
      </c>
      <c r="J6" s="230">
        <f>D6</f>
        <v>19</v>
      </c>
      <c r="K6" s="45">
        <f>ROUND(J6*I6,2)</f>
        <v>912</v>
      </c>
    </row>
    <row r="7" spans="1:14" x14ac:dyDescent="0.2">
      <c r="A7" s="35" t="s">
        <v>109</v>
      </c>
      <c r="B7" s="36" t="s">
        <v>73</v>
      </c>
      <c r="C7" s="36">
        <f>5*12</f>
        <v>60</v>
      </c>
      <c r="D7" s="230">
        <f>ROUND(21,2)</f>
        <v>21</v>
      </c>
      <c r="E7" s="45">
        <f t="shared" ref="E7:E12" si="0">ROUND(D7*C7,2)</f>
        <v>1260</v>
      </c>
      <c r="G7" s="35" t="s">
        <v>109</v>
      </c>
      <c r="H7" s="36" t="s">
        <v>73</v>
      </c>
      <c r="I7" s="36">
        <f>5*12</f>
        <v>60</v>
      </c>
      <c r="J7" s="230">
        <f t="shared" ref="J7:J13" si="1">D7</f>
        <v>21</v>
      </c>
      <c r="K7" s="45">
        <f t="shared" ref="K7:K12" si="2">ROUND(J7*I7,2)</f>
        <v>1260</v>
      </c>
    </row>
    <row r="8" spans="1:14" x14ac:dyDescent="0.2">
      <c r="A8" s="46" t="s">
        <v>110</v>
      </c>
      <c r="B8" s="36" t="s">
        <v>73</v>
      </c>
      <c r="C8" s="36">
        <f>1*12</f>
        <v>12</v>
      </c>
      <c r="D8" s="230">
        <f>ROUND(56,2)</f>
        <v>56</v>
      </c>
      <c r="E8" s="45">
        <f t="shared" si="0"/>
        <v>672</v>
      </c>
      <c r="G8" s="35" t="s">
        <v>110</v>
      </c>
      <c r="H8" s="36" t="s">
        <v>73</v>
      </c>
      <c r="I8" s="36">
        <f>1*12</f>
        <v>12</v>
      </c>
      <c r="J8" s="230">
        <f t="shared" si="1"/>
        <v>56</v>
      </c>
      <c r="K8" s="45">
        <f t="shared" si="2"/>
        <v>672</v>
      </c>
    </row>
    <row r="9" spans="1:14" x14ac:dyDescent="0.2">
      <c r="A9" s="46" t="s">
        <v>111</v>
      </c>
      <c r="B9" s="36" t="s">
        <v>73</v>
      </c>
      <c r="C9" s="36">
        <f>1*12</f>
        <v>12</v>
      </c>
      <c r="D9" s="230">
        <f>ROUND(36,2)</f>
        <v>36</v>
      </c>
      <c r="E9" s="45">
        <f t="shared" si="0"/>
        <v>432</v>
      </c>
      <c r="G9" s="35" t="s">
        <v>111</v>
      </c>
      <c r="H9" s="36" t="s">
        <v>73</v>
      </c>
      <c r="I9" s="36">
        <f>1*12</f>
        <v>12</v>
      </c>
      <c r="J9" s="230">
        <f t="shared" si="1"/>
        <v>36</v>
      </c>
      <c r="K9" s="45">
        <f t="shared" si="2"/>
        <v>432</v>
      </c>
    </row>
    <row r="10" spans="1:14" x14ac:dyDescent="0.2">
      <c r="A10" s="46" t="s">
        <v>112</v>
      </c>
      <c r="B10" s="39" t="s">
        <v>73</v>
      </c>
      <c r="C10" s="39">
        <f>1*12</f>
        <v>12</v>
      </c>
      <c r="D10" s="230">
        <f>ROUND(141,2)</f>
        <v>141</v>
      </c>
      <c r="E10" s="161">
        <f t="shared" si="0"/>
        <v>1692</v>
      </c>
      <c r="G10" s="46" t="s">
        <v>112</v>
      </c>
      <c r="H10" s="39" t="s">
        <v>73</v>
      </c>
      <c r="I10" s="39">
        <f>1*12</f>
        <v>12</v>
      </c>
      <c r="J10" s="230">
        <f t="shared" si="1"/>
        <v>141</v>
      </c>
      <c r="K10" s="161">
        <f t="shared" si="2"/>
        <v>1692</v>
      </c>
    </row>
    <row r="11" spans="1:14" x14ac:dyDescent="0.2">
      <c r="A11" s="46" t="s">
        <v>113</v>
      </c>
      <c r="B11" s="36" t="s">
        <v>73</v>
      </c>
      <c r="C11" s="36">
        <f>1*12</f>
        <v>12</v>
      </c>
      <c r="D11" s="230">
        <f>ROUND(43.6,2)</f>
        <v>43.6</v>
      </c>
      <c r="E11" s="45">
        <f t="shared" si="0"/>
        <v>523.20000000000005</v>
      </c>
      <c r="G11" s="35" t="s">
        <v>113</v>
      </c>
      <c r="H11" s="36" t="s">
        <v>73</v>
      </c>
      <c r="I11" s="36">
        <f>1*12</f>
        <v>12</v>
      </c>
      <c r="J11" s="230">
        <f t="shared" si="1"/>
        <v>43.6</v>
      </c>
      <c r="K11" s="45">
        <f t="shared" si="2"/>
        <v>523.20000000000005</v>
      </c>
    </row>
    <row r="12" spans="1:14" x14ac:dyDescent="0.2">
      <c r="A12" s="46" t="s">
        <v>114</v>
      </c>
      <c r="B12" s="36" t="s">
        <v>106</v>
      </c>
      <c r="C12" s="36">
        <f>2*12</f>
        <v>24</v>
      </c>
      <c r="D12" s="230">
        <f>ROUND(127,2)</f>
        <v>127</v>
      </c>
      <c r="E12" s="45">
        <f t="shared" si="0"/>
        <v>3048</v>
      </c>
      <c r="G12" s="35" t="s">
        <v>114</v>
      </c>
      <c r="H12" s="36" t="s">
        <v>106</v>
      </c>
      <c r="I12" s="36">
        <f>2*12</f>
        <v>24</v>
      </c>
      <c r="J12" s="230">
        <f t="shared" si="1"/>
        <v>127</v>
      </c>
      <c r="K12" s="45">
        <f t="shared" si="2"/>
        <v>3048</v>
      </c>
    </row>
    <row r="13" spans="1:14" x14ac:dyDescent="0.2">
      <c r="A13" s="40" t="s">
        <v>115</v>
      </c>
      <c r="B13" s="20"/>
      <c r="C13" s="47">
        <f>SUM(C6:C12)</f>
        <v>180</v>
      </c>
      <c r="D13" s="231">
        <f>SUM(D6:D12)</f>
        <v>443.6</v>
      </c>
      <c r="E13" s="48">
        <f>SUM(E6:E12)</f>
        <v>8539.2000000000007</v>
      </c>
      <c r="G13" s="40" t="s">
        <v>115</v>
      </c>
      <c r="H13" s="20"/>
      <c r="I13" s="47">
        <f>SUM(I6:I12)</f>
        <v>180</v>
      </c>
      <c r="J13" s="230">
        <f t="shared" si="1"/>
        <v>443.6</v>
      </c>
      <c r="K13" s="48">
        <f>SUM(K6:K12)</f>
        <v>8539.2000000000007</v>
      </c>
    </row>
    <row r="14" spans="1:14" x14ac:dyDescent="0.2">
      <c r="A14" s="487" t="s">
        <v>177</v>
      </c>
      <c r="B14" s="487"/>
      <c r="C14" s="490">
        <f>ROUND(C13/L4,3)</f>
        <v>9</v>
      </c>
      <c r="D14" s="487"/>
      <c r="E14" s="97">
        <f>ROUND(E13/L4,2)</f>
        <v>426.96</v>
      </c>
      <c r="G14" s="487" t="s">
        <v>177</v>
      </c>
      <c r="H14" s="487"/>
      <c r="I14" s="490">
        <f>ROUND(I13/M4,3)</f>
        <v>6.923</v>
      </c>
      <c r="J14" s="487"/>
      <c r="K14" s="97">
        <f>ROUND(K13/M4,2)</f>
        <v>328.43</v>
      </c>
    </row>
    <row r="15" spans="1:14" x14ac:dyDescent="0.2">
      <c r="E15" s="43"/>
      <c r="K15" s="43"/>
    </row>
    <row r="16" spans="1:14" x14ac:dyDescent="0.2">
      <c r="A16" s="14" t="s">
        <v>116</v>
      </c>
      <c r="E16" s="43"/>
      <c r="G16" s="14" t="s">
        <v>116</v>
      </c>
      <c r="K16" s="43"/>
    </row>
    <row r="17" spans="1:11" ht="53.25" customHeight="1" x14ac:dyDescent="0.2">
      <c r="A17" s="32" t="s">
        <v>71</v>
      </c>
      <c r="B17" s="32" t="s">
        <v>99</v>
      </c>
      <c r="C17" s="60" t="s">
        <v>316</v>
      </c>
      <c r="D17" s="952" t="s">
        <v>40</v>
      </c>
      <c r="E17" s="31" t="s">
        <v>6</v>
      </c>
      <c r="G17" s="362" t="s">
        <v>71</v>
      </c>
      <c r="H17" s="362" t="s">
        <v>99</v>
      </c>
      <c r="I17" s="362" t="s">
        <v>316</v>
      </c>
      <c r="J17" s="952" t="s">
        <v>40</v>
      </c>
      <c r="K17" s="31" t="s">
        <v>6</v>
      </c>
    </row>
    <row r="18" spans="1:11" x14ac:dyDescent="0.2">
      <c r="A18" s="35" t="s">
        <v>108</v>
      </c>
      <c r="B18" s="36" t="s">
        <v>73</v>
      </c>
      <c r="C18" s="36">
        <f>2*12</f>
        <v>24</v>
      </c>
      <c r="D18" s="230">
        <f>D6</f>
        <v>19</v>
      </c>
      <c r="E18" s="45">
        <f>ROUND(D18*C18,2)</f>
        <v>456</v>
      </c>
      <c r="G18" s="35" t="s">
        <v>108</v>
      </c>
      <c r="H18" s="36" t="s">
        <v>73</v>
      </c>
      <c r="I18" s="36">
        <f>2*12</f>
        <v>24</v>
      </c>
      <c r="J18" s="230">
        <f>D18</f>
        <v>19</v>
      </c>
      <c r="K18" s="45">
        <f>ROUND(J18*I18,2)</f>
        <v>456</v>
      </c>
    </row>
    <row r="19" spans="1:11" x14ac:dyDescent="0.2">
      <c r="A19" s="35" t="s">
        <v>111</v>
      </c>
      <c r="B19" s="36" t="s">
        <v>106</v>
      </c>
      <c r="C19" s="36">
        <f>2*12/0.6</f>
        <v>40</v>
      </c>
      <c r="D19" s="162">
        <f>D9</f>
        <v>36</v>
      </c>
      <c r="E19" s="45">
        <f>ROUND(D19*C19,2)</f>
        <v>1440</v>
      </c>
      <c r="G19" s="35" t="s">
        <v>111</v>
      </c>
      <c r="H19" s="36" t="s">
        <v>106</v>
      </c>
      <c r="I19" s="36">
        <f>2*12/0.6</f>
        <v>40</v>
      </c>
      <c r="J19" s="230">
        <f>D19</f>
        <v>36</v>
      </c>
      <c r="K19" s="45">
        <f>ROUND(J19*I19,2)</f>
        <v>1440</v>
      </c>
    </row>
    <row r="20" spans="1:11" x14ac:dyDescent="0.2">
      <c r="A20" s="35" t="s">
        <v>314</v>
      </c>
      <c r="B20" s="36" t="s">
        <v>106</v>
      </c>
      <c r="C20" s="36">
        <f>2*12/6</f>
        <v>4</v>
      </c>
      <c r="D20" s="449">
        <f>ROUND(868,2)</f>
        <v>868</v>
      </c>
      <c r="E20" s="45">
        <f>ROUND(D20*C20,2)</f>
        <v>3472</v>
      </c>
      <c r="G20" s="35" t="s">
        <v>314</v>
      </c>
      <c r="H20" s="36" t="s">
        <v>106</v>
      </c>
      <c r="I20" s="36">
        <f>2*12/6</f>
        <v>4</v>
      </c>
      <c r="J20" s="230">
        <f>D20</f>
        <v>868</v>
      </c>
      <c r="K20" s="45">
        <f>ROUND(J20*I20,2)</f>
        <v>3472</v>
      </c>
    </row>
    <row r="21" spans="1:11" x14ac:dyDescent="0.2">
      <c r="A21" s="40" t="s">
        <v>115</v>
      </c>
      <c r="B21" s="20"/>
      <c r="C21" s="47">
        <f>SUM(C18:C20)</f>
        <v>68</v>
      </c>
      <c r="D21" s="47"/>
      <c r="E21" s="48">
        <f>SUM(E18:E20)</f>
        <v>5368</v>
      </c>
      <c r="G21" s="40" t="s">
        <v>115</v>
      </c>
      <c r="H21" s="20"/>
      <c r="I21" s="47">
        <f>SUM(I18:I20)</f>
        <v>68</v>
      </c>
      <c r="J21" s="47"/>
      <c r="K21" s="48">
        <f>SUM(K18:K20)</f>
        <v>5368</v>
      </c>
    </row>
    <row r="22" spans="1:11" x14ac:dyDescent="0.2">
      <c r="A22" s="487" t="s">
        <v>177</v>
      </c>
      <c r="B22" s="487"/>
      <c r="C22" s="490">
        <f>ROUND(C21/L4,3)</f>
        <v>3.4</v>
      </c>
      <c r="D22" s="487"/>
      <c r="E22" s="97">
        <f>ROUND(E21/L4,2)</f>
        <v>268.39999999999998</v>
      </c>
      <c r="G22" s="487" t="s">
        <v>177</v>
      </c>
      <c r="H22" s="487"/>
      <c r="I22" s="490">
        <f>ROUND(I21/M4,3)</f>
        <v>2.6150000000000002</v>
      </c>
      <c r="J22" s="487"/>
      <c r="K22" s="97">
        <f>ROUND(K21/M4,2)</f>
        <v>206.46</v>
      </c>
    </row>
    <row r="23" spans="1:11" x14ac:dyDescent="0.2">
      <c r="C23" s="491">
        <f>C14+C22</f>
        <v>12.4</v>
      </c>
      <c r="E23" s="96">
        <f>E14+E22</f>
        <v>695.3599999999999</v>
      </c>
      <c r="I23" s="491">
        <f>I14+I22</f>
        <v>9.5380000000000003</v>
      </c>
      <c r="K23" s="96">
        <f>K14+K22</f>
        <v>534.89</v>
      </c>
    </row>
    <row r="25" spans="1:11" ht="35.450000000000003" customHeight="1" x14ac:dyDescent="0.2">
      <c r="A25" s="1175" t="s">
        <v>132</v>
      </c>
      <c r="B25" s="1195" t="str">
        <f>Хозрасходы!B15</f>
        <v>Численность</v>
      </c>
      <c r="C25" s="1195"/>
      <c r="D25" s="1196" t="str">
        <f>Хозрасходы!D15</f>
        <v>Сумма в год</v>
      </c>
      <c r="E25" s="1198" t="s">
        <v>396</v>
      </c>
      <c r="F25" s="1199"/>
    </row>
    <row r="26" spans="1:11" ht="33" customHeight="1" x14ac:dyDescent="0.2">
      <c r="A26" s="1175"/>
      <c r="B26" s="547" t="str">
        <f>Хозрасходы!B16</f>
        <v>от 1 года до 3 лет</v>
      </c>
      <c r="C26" s="547" t="str">
        <f>Хозрасходы!C16</f>
        <v>от 3 лет до 8 лет</v>
      </c>
      <c r="D26" s="1197"/>
      <c r="E26" s="371" t="s">
        <v>261</v>
      </c>
      <c r="F26" s="371" t="s">
        <v>262</v>
      </c>
    </row>
    <row r="27" spans="1:11" x14ac:dyDescent="0.2">
      <c r="A27" s="46" t="str">
        <f>Хозрасходы!A17</f>
        <v>МАДОУ ЦРР-детский сад № 2</v>
      </c>
      <c r="B27" s="67">
        <f>Численность!AF6+Численность!AH6+Численность!AK6+Численность!AM6+Численность!AP6</f>
        <v>64</v>
      </c>
      <c r="C27" s="67">
        <f>Численность!AG6+Численность!AI6+Численность!AL6+Численность!AN6+Численность!AO6+Численность!AQ6+Численность!AJ6</f>
        <v>273</v>
      </c>
      <c r="D27" s="369">
        <f>(B27*$E$23)+(C27*$K$23)</f>
        <v>190528.01</v>
      </c>
      <c r="E27" s="91">
        <f>B27*$E$22</f>
        <v>17177.599999999999</v>
      </c>
      <c r="F27" s="91">
        <f>C27*$K$22</f>
        <v>56363.58</v>
      </c>
      <c r="G27" s="44">
        <f>E27+F27</f>
        <v>73541.179999999993</v>
      </c>
    </row>
    <row r="28" spans="1:11" x14ac:dyDescent="0.2">
      <c r="A28" s="46" t="str">
        <f>Хозрасходы!A18</f>
        <v>МАДОУ ЦРР-детский сад № 11</v>
      </c>
      <c r="B28" s="67">
        <f>Численность!AF7+Численность!AH7+Численность!AK7+Численность!AM7+Численность!AP7</f>
        <v>61</v>
      </c>
      <c r="C28" s="67">
        <f>Численность!AG7+Численность!AI7+Численность!AL7+Численность!AN7+Численность!AO7+Численность!AQ7+Численность!AJ7</f>
        <v>309</v>
      </c>
      <c r="D28" s="369">
        <f t="shared" ref="D28:D35" si="3">(B28*$E$23)+(C28*$K$23)</f>
        <v>207697.97</v>
      </c>
      <c r="E28" s="91">
        <f t="shared" ref="E28:E34" si="4">B28*$E$22</f>
        <v>16372.399999999998</v>
      </c>
      <c r="F28" s="91">
        <f t="shared" ref="F28:F34" si="5">C28*$K$22</f>
        <v>63796.14</v>
      </c>
      <c r="G28" s="44">
        <f t="shared" ref="G28:G50" si="6">E28+F28</f>
        <v>80168.539999999994</v>
      </c>
    </row>
    <row r="29" spans="1:11" x14ac:dyDescent="0.2">
      <c r="A29" s="46" t="str">
        <f>Хозрасходы!A19</f>
        <v>МАДОУ ЦРР-детский сад № 13</v>
      </c>
      <c r="B29" s="67">
        <f>Численность!AF8+Численность!AH8+Численность!AK8+Численность!AM8+Численность!AP8</f>
        <v>125</v>
      </c>
      <c r="C29" s="67">
        <f>Численность!AG8+Численность!AI8+Численность!AL8+Численность!AN8+Численность!AO8+Численность!AQ8+Численность!AJ8</f>
        <v>379</v>
      </c>
      <c r="D29" s="369">
        <f t="shared" si="3"/>
        <v>289643.31</v>
      </c>
      <c r="E29" s="91">
        <f t="shared" si="4"/>
        <v>33550</v>
      </c>
      <c r="F29" s="91">
        <f t="shared" si="5"/>
        <v>78248.34</v>
      </c>
      <c r="G29" s="44">
        <f t="shared" si="6"/>
        <v>111798.34</v>
      </c>
    </row>
    <row r="30" spans="1:11" ht="28.15" customHeight="1" x14ac:dyDescent="0.2">
      <c r="A30" s="46" t="str">
        <f>Хозрасходы!A20</f>
        <v>МАОУ СОШ № 1 структурное подразделение</v>
      </c>
      <c r="B30" s="67">
        <f>Численность!AF9+Численность!AH9+Численность!AK9+Численность!AM9+Численность!AP9</f>
        <v>41</v>
      </c>
      <c r="C30" s="67">
        <f>Численность!AG9+Численность!AI9+Численность!AL9+Численность!AN9+Численность!AO9+Численность!AQ9+Численность!AJ9</f>
        <v>224</v>
      </c>
      <c r="D30" s="369">
        <f t="shared" si="3"/>
        <v>148325.12</v>
      </c>
      <c r="E30" s="91">
        <f t="shared" si="4"/>
        <v>11004.4</v>
      </c>
      <c r="F30" s="91">
        <f t="shared" si="5"/>
        <v>46247.040000000001</v>
      </c>
      <c r="G30" s="44">
        <f t="shared" si="6"/>
        <v>57251.44</v>
      </c>
    </row>
    <row r="31" spans="1:11" ht="28.15" customHeight="1" x14ac:dyDescent="0.2">
      <c r="A31" s="46" t="str">
        <f>Хозрасходы!A21</f>
        <v>МАОУ СОШ № 2 им.М.И.Грибушина структурное подразделение</v>
      </c>
      <c r="B31" s="67">
        <f>Численность!AF10+Численность!AH10+Численность!AK10+Численность!AM10+Численность!AP10</f>
        <v>33</v>
      </c>
      <c r="C31" s="67">
        <f>Численность!AG10+Численность!AI10+Численность!AL10+Численность!AN10+Численность!AO10+Численность!AQ10+Численность!AJ10</f>
        <v>156</v>
      </c>
      <c r="D31" s="369">
        <f t="shared" si="3"/>
        <v>106389.72</v>
      </c>
      <c r="E31" s="91">
        <f t="shared" si="4"/>
        <v>8857.1999999999989</v>
      </c>
      <c r="F31" s="91">
        <f t="shared" si="5"/>
        <v>32207.760000000002</v>
      </c>
      <c r="G31" s="44">
        <f t="shared" si="6"/>
        <v>41064.959999999999</v>
      </c>
    </row>
    <row r="32" spans="1:11" ht="28.15" customHeight="1" x14ac:dyDescent="0.2">
      <c r="A32" s="46" t="str">
        <f>Хозрасходы!A22</f>
        <v>МАОУ СОШ № 10 структурное подразделение</v>
      </c>
      <c r="B32" s="67">
        <f>Численность!AF11+Численность!AH11+Численность!AK11+Численность!AM11+Численность!AP11</f>
        <v>16</v>
      </c>
      <c r="C32" s="67">
        <f>Численность!AG11+Численность!AI11+Численность!AL11+Численность!AN11+Численность!AO11+Численность!AQ11+Численность!AJ11</f>
        <v>140</v>
      </c>
      <c r="D32" s="369">
        <f t="shared" si="3"/>
        <v>86010.359999999986</v>
      </c>
      <c r="E32" s="91">
        <f t="shared" si="4"/>
        <v>4294.3999999999996</v>
      </c>
      <c r="F32" s="91">
        <f t="shared" si="5"/>
        <v>28904.400000000001</v>
      </c>
      <c r="G32" s="44">
        <f t="shared" si="6"/>
        <v>33198.800000000003</v>
      </c>
    </row>
    <row r="33" spans="1:7" ht="29.45" customHeight="1" x14ac:dyDescent="0.2">
      <c r="A33" s="46" t="str">
        <f>Хозрасходы!A23</f>
        <v>МАОУ СОШ № 13 структурное подразделение</v>
      </c>
      <c r="B33" s="67">
        <f>Численность!AF12+Численность!AH12+Численность!AK12+Численность!AM12+Численность!AP12</f>
        <v>22</v>
      </c>
      <c r="C33" s="67">
        <f>Численность!AG12+Численность!AI12+Численность!AL12+Численность!AN12+Численность!AO12+Численность!AQ12+Численность!AJ12</f>
        <v>86</v>
      </c>
      <c r="D33" s="369">
        <f t="shared" si="3"/>
        <v>61298.46</v>
      </c>
      <c r="E33" s="91">
        <f t="shared" si="4"/>
        <v>5904.7999999999993</v>
      </c>
      <c r="F33" s="91">
        <f t="shared" si="5"/>
        <v>17755.560000000001</v>
      </c>
      <c r="G33" s="44">
        <f t="shared" si="6"/>
        <v>23660.36</v>
      </c>
    </row>
    <row r="34" spans="1:7" ht="25.5" x14ac:dyDescent="0.2">
      <c r="A34" s="46" t="str">
        <f>Хозрасходы!A24</f>
        <v>Гимназия № 16 структурное подразделение</v>
      </c>
      <c r="B34" s="67">
        <f>Численность!AF13+Численность!AH13+Численность!AK13+Численность!AM13+Численность!AP13</f>
        <v>32</v>
      </c>
      <c r="C34" s="67">
        <f>Численность!AG13+Численность!AI13+Численность!AL13+Численность!AN13+Численность!AO13+Численность!AQ13+Численность!AJ13</f>
        <v>200</v>
      </c>
      <c r="D34" s="369">
        <f t="shared" si="3"/>
        <v>129229.51999999999</v>
      </c>
      <c r="E34" s="91">
        <f t="shared" si="4"/>
        <v>8588.7999999999993</v>
      </c>
      <c r="F34" s="91">
        <f t="shared" si="5"/>
        <v>41292</v>
      </c>
      <c r="G34" s="44">
        <f t="shared" si="6"/>
        <v>49880.800000000003</v>
      </c>
    </row>
    <row r="35" spans="1:7" ht="29.45" customHeight="1" x14ac:dyDescent="0.2">
      <c r="A35" s="46" t="str">
        <f>Хозрасходы!A25</f>
        <v>МАОУ ООШ № 17 с кадетскими классами структурное подразделение</v>
      </c>
      <c r="B35" s="67">
        <f>Численность!AF14+Численность!AH14+Численность!AK14+Численность!AM14+Численность!AP14</f>
        <v>13</v>
      </c>
      <c r="C35" s="67">
        <f>Численность!AG14+Численность!AI14+Численность!AL14+Численность!AN14+Численность!AO14+Численность!AQ14+Численность!AJ14</f>
        <v>56</v>
      </c>
      <c r="D35" s="823">
        <f t="shared" si="3"/>
        <v>38993.519999999997</v>
      </c>
      <c r="E35" s="91">
        <f>B35*$E$22</f>
        <v>3489.2</v>
      </c>
      <c r="F35" s="91">
        <f>C35*$K$22</f>
        <v>11561.76</v>
      </c>
      <c r="G35" s="44">
        <f t="shared" si="6"/>
        <v>15050.96</v>
      </c>
    </row>
    <row r="36" spans="1:7" ht="29.45" customHeight="1" x14ac:dyDescent="0.2">
      <c r="A36" s="818" t="s">
        <v>670</v>
      </c>
      <c r="B36" s="67">
        <f>Численность!AF15+Численность!AH15+Численность!AK15+Численность!AM15+Численность!AP15</f>
        <v>5</v>
      </c>
      <c r="C36" s="67">
        <f>Численность!AG15+Численность!AI15+Численность!AL15+Численность!AN15+Численность!AO15+Численность!AQ15+Численность!AJ15</f>
        <v>34</v>
      </c>
      <c r="D36" s="823">
        <f t="shared" ref="D36:D50" si="7">(B36*$E$23)+(C36*$K$23)</f>
        <v>21663.059999999998</v>
      </c>
      <c r="E36" s="91">
        <f t="shared" ref="E36:E50" si="8">B36*$E$22</f>
        <v>1342</v>
      </c>
      <c r="F36" s="91">
        <f t="shared" ref="F36:F50" si="9">C36*$K$22</f>
        <v>7019.64</v>
      </c>
      <c r="G36" s="44">
        <f t="shared" si="6"/>
        <v>8361.64</v>
      </c>
    </row>
    <row r="37" spans="1:7" ht="29.45" customHeight="1" x14ac:dyDescent="0.2">
      <c r="A37" s="818" t="s">
        <v>671</v>
      </c>
      <c r="B37" s="67">
        <f>Численность!AF16+Численность!AH16+Численность!AK16+Численность!AM16+Численность!AP16</f>
        <v>8</v>
      </c>
      <c r="C37" s="67">
        <f>Численность!AG16+Численность!AI16+Численность!AL16+Численность!AN16+Численность!AO16+Численность!AQ16+Численность!AJ16</f>
        <v>26</v>
      </c>
      <c r="D37" s="823">
        <f t="shared" si="7"/>
        <v>19470.019999999997</v>
      </c>
      <c r="E37" s="91">
        <f t="shared" si="8"/>
        <v>2147.1999999999998</v>
      </c>
      <c r="F37" s="91">
        <f t="shared" si="9"/>
        <v>5367.96</v>
      </c>
      <c r="G37" s="44">
        <f t="shared" si="6"/>
        <v>7515.16</v>
      </c>
    </row>
    <row r="38" spans="1:7" ht="29.45" customHeight="1" x14ac:dyDescent="0.2">
      <c r="A38" s="818" t="s">
        <v>672</v>
      </c>
      <c r="B38" s="67">
        <f>Численность!AF17+Численность!AH17+Численность!AK17+Численность!AM17+Численность!AP17</f>
        <v>17</v>
      </c>
      <c r="C38" s="67">
        <f>Численность!AG17+Численность!AI17+Численность!AL17+Численность!AN17+Численность!AO17+Численность!AQ17+Численность!AJ17</f>
        <v>91</v>
      </c>
      <c r="D38" s="823">
        <f t="shared" si="7"/>
        <v>60496.11</v>
      </c>
      <c r="E38" s="91">
        <f t="shared" si="8"/>
        <v>4562.7999999999993</v>
      </c>
      <c r="F38" s="91">
        <f t="shared" si="9"/>
        <v>18787.86</v>
      </c>
      <c r="G38" s="44">
        <f t="shared" si="6"/>
        <v>23350.66</v>
      </c>
    </row>
    <row r="39" spans="1:7" ht="29.45" customHeight="1" x14ac:dyDescent="0.2">
      <c r="A39" s="818" t="s">
        <v>673</v>
      </c>
      <c r="B39" s="67">
        <f>Численность!AF18+Численность!AH18+Численность!AK18+Численность!AM18+Численность!AP18</f>
        <v>21</v>
      </c>
      <c r="C39" s="67">
        <f>Численность!AG18+Численность!AI18+Численность!AL18+Численность!AN18+Численность!AO18+Численность!AQ18+Численность!AJ18</f>
        <v>85</v>
      </c>
      <c r="D39" s="823">
        <f t="shared" si="7"/>
        <v>60068.21</v>
      </c>
      <c r="E39" s="91">
        <f t="shared" si="8"/>
        <v>5636.4</v>
      </c>
      <c r="F39" s="91">
        <f t="shared" si="9"/>
        <v>17549.100000000002</v>
      </c>
      <c r="G39" s="44">
        <f t="shared" si="6"/>
        <v>23185.5</v>
      </c>
    </row>
    <row r="40" spans="1:7" ht="29.45" customHeight="1" x14ac:dyDescent="0.2">
      <c r="A40" s="818" t="s">
        <v>674</v>
      </c>
      <c r="B40" s="67">
        <f>Численность!AF19+Численность!AH19+Численность!AK19+Численность!AM19+Численность!AP19</f>
        <v>4</v>
      </c>
      <c r="C40" s="67">
        <f>Численность!AG19+Численность!AI19+Численность!AL19+Численность!AN19+Численность!AO19+Численность!AQ19+Численность!AJ19</f>
        <v>36</v>
      </c>
      <c r="D40" s="823">
        <f t="shared" si="7"/>
        <v>22037.48</v>
      </c>
      <c r="E40" s="91">
        <f t="shared" si="8"/>
        <v>1073.5999999999999</v>
      </c>
      <c r="F40" s="91">
        <f t="shared" si="9"/>
        <v>7432.56</v>
      </c>
      <c r="G40" s="44">
        <f t="shared" si="6"/>
        <v>8506.16</v>
      </c>
    </row>
    <row r="41" spans="1:7" ht="29.45" customHeight="1" x14ac:dyDescent="0.2">
      <c r="A41" s="818" t="s">
        <v>675</v>
      </c>
      <c r="B41" s="67">
        <f>Численность!AF20+Численность!AH20+Численность!AK20+Численность!AM20+Численность!AP20</f>
        <v>11</v>
      </c>
      <c r="C41" s="67">
        <f>Численность!AG20+Численность!AI20+Численность!AL20+Численность!AN20+Численность!AO20+Численность!AQ20+Численность!AJ20</f>
        <v>58</v>
      </c>
      <c r="D41" s="823">
        <f t="shared" si="7"/>
        <v>38672.58</v>
      </c>
      <c r="E41" s="91">
        <f t="shared" si="8"/>
        <v>2952.3999999999996</v>
      </c>
      <c r="F41" s="91">
        <f t="shared" si="9"/>
        <v>11974.68</v>
      </c>
      <c r="G41" s="44">
        <f t="shared" si="6"/>
        <v>14927.08</v>
      </c>
    </row>
    <row r="42" spans="1:7" ht="29.45" customHeight="1" x14ac:dyDescent="0.2">
      <c r="A42" s="818" t="s">
        <v>681</v>
      </c>
      <c r="B42" s="67">
        <f>Численность!AF21+Численность!AH21+Численность!AK21+Численность!AM21+Численность!AP21</f>
        <v>8</v>
      </c>
      <c r="C42" s="67">
        <f>Численность!AG21+Численность!AI21+Численность!AL21+Численность!AN21+Численность!AO21+Численность!AQ21+Численность!AJ21</f>
        <v>44</v>
      </c>
      <c r="D42" s="823">
        <f t="shared" si="7"/>
        <v>29098.04</v>
      </c>
      <c r="E42" s="91">
        <f t="shared" si="8"/>
        <v>2147.1999999999998</v>
      </c>
      <c r="F42" s="91">
        <f t="shared" si="9"/>
        <v>9084.24</v>
      </c>
      <c r="G42" s="44"/>
    </row>
    <row r="43" spans="1:7" ht="29.45" customHeight="1" x14ac:dyDescent="0.2">
      <c r="A43" s="818" t="s">
        <v>682</v>
      </c>
      <c r="B43" s="67">
        <f>Численность!AF22+Численность!AH22+Численность!AK22+Численность!AM22+Численность!AP22</f>
        <v>10</v>
      </c>
      <c r="C43" s="67">
        <f>Численность!AG22+Численность!AI22+Численность!AL22+Численность!AN22+Численность!AO22+Численность!AQ22+Численность!AJ22</f>
        <v>45</v>
      </c>
      <c r="D43" s="823">
        <f t="shared" si="7"/>
        <v>31023.649999999998</v>
      </c>
      <c r="E43" s="91">
        <f t="shared" si="8"/>
        <v>2684</v>
      </c>
      <c r="F43" s="91">
        <f t="shared" si="9"/>
        <v>9290.7000000000007</v>
      </c>
      <c r="G43" s="44"/>
    </row>
    <row r="44" spans="1:7" ht="29.45" customHeight="1" x14ac:dyDescent="0.2">
      <c r="A44" s="818" t="s">
        <v>676</v>
      </c>
      <c r="B44" s="67">
        <f>Численность!AF23+Численность!AH23+Численность!AK23+Численность!AM23+Численность!AP23</f>
        <v>44</v>
      </c>
      <c r="C44" s="67">
        <f>Численность!AG23+Численность!AI23+Численность!AL23+Численность!AN23+Численность!AO23+Численность!AQ23+Численность!AJ23</f>
        <v>176</v>
      </c>
      <c r="D44" s="823">
        <f t="shared" si="7"/>
        <v>124736.48</v>
      </c>
      <c r="E44" s="91">
        <f t="shared" si="8"/>
        <v>11809.599999999999</v>
      </c>
      <c r="F44" s="91">
        <f t="shared" si="9"/>
        <v>36336.959999999999</v>
      </c>
      <c r="G44" s="44">
        <f t="shared" si="6"/>
        <v>48146.559999999998</v>
      </c>
    </row>
    <row r="45" spans="1:7" ht="29.45" customHeight="1" x14ac:dyDescent="0.2">
      <c r="A45" s="818" t="s">
        <v>677</v>
      </c>
      <c r="B45" s="67">
        <f>Численность!AF24+Численность!AH24+Численность!AK24+Численность!AM24+Численность!AP24</f>
        <v>6</v>
      </c>
      <c r="C45" s="67">
        <f>Численность!AG24+Численность!AI24+Численность!AL24+Численность!AN24+Численность!AO24+Численность!AQ24+Численность!AJ24</f>
        <v>42</v>
      </c>
      <c r="D45" s="823">
        <f t="shared" si="7"/>
        <v>26637.54</v>
      </c>
      <c r="E45" s="91">
        <f t="shared" si="8"/>
        <v>1610.3999999999999</v>
      </c>
      <c r="F45" s="91">
        <f t="shared" si="9"/>
        <v>8671.32</v>
      </c>
      <c r="G45" s="44">
        <f t="shared" si="6"/>
        <v>10281.719999999999</v>
      </c>
    </row>
    <row r="46" spans="1:7" ht="29.45" customHeight="1" x14ac:dyDescent="0.2">
      <c r="A46" s="818" t="s">
        <v>678</v>
      </c>
      <c r="B46" s="67">
        <f>Численность!AF25+Численность!AH25+Численность!AK25+Численность!AM25+Численность!AP25</f>
        <v>6</v>
      </c>
      <c r="C46" s="67">
        <f>Численность!AG25+Численность!AI25+Численность!AL25+Численность!AN25+Численность!AO25+Численность!AQ25+Численность!AJ25</f>
        <v>58</v>
      </c>
      <c r="D46" s="823">
        <f t="shared" si="7"/>
        <v>35195.78</v>
      </c>
      <c r="E46" s="91">
        <f t="shared" si="8"/>
        <v>1610.3999999999999</v>
      </c>
      <c r="F46" s="91">
        <f t="shared" si="9"/>
        <v>11974.68</v>
      </c>
      <c r="G46" s="44">
        <f t="shared" si="6"/>
        <v>13585.08</v>
      </c>
    </row>
    <row r="47" spans="1:7" ht="29.45" customHeight="1" x14ac:dyDescent="0.2">
      <c r="A47" s="818" t="s">
        <v>683</v>
      </c>
      <c r="B47" s="67">
        <f>Численность!AF26+Численность!AH26+Численность!AK26+Численность!AM26+Численность!AP26</f>
        <v>13</v>
      </c>
      <c r="C47" s="67">
        <f>Численность!AG26+Численность!AI26+Численность!AL26+Численность!AN26+Численность!AO26+Численность!AQ26+Численность!AJ26</f>
        <v>22</v>
      </c>
      <c r="D47" s="823">
        <f t="shared" si="7"/>
        <v>20807.259999999998</v>
      </c>
      <c r="E47" s="91">
        <f t="shared" si="8"/>
        <v>3489.2</v>
      </c>
      <c r="F47" s="91">
        <f t="shared" si="9"/>
        <v>4542.12</v>
      </c>
      <c r="G47" s="44"/>
    </row>
    <row r="48" spans="1:7" ht="29.45" customHeight="1" x14ac:dyDescent="0.2">
      <c r="A48" s="818" t="s">
        <v>679</v>
      </c>
      <c r="B48" s="67">
        <f>Численность!AF27+Численность!AH27+Численность!AK27+Численность!AM27+Численность!AP27</f>
        <v>8</v>
      </c>
      <c r="C48" s="67">
        <f>Численность!AG27+Численность!AI27+Численность!AL27+Численность!AN27+Численность!AO27+Численность!AQ27+Численность!AJ27</f>
        <v>33</v>
      </c>
      <c r="D48" s="823">
        <f t="shared" si="7"/>
        <v>23214.25</v>
      </c>
      <c r="E48" s="91">
        <f t="shared" si="8"/>
        <v>2147.1999999999998</v>
      </c>
      <c r="F48" s="91">
        <f t="shared" si="9"/>
        <v>6813.18</v>
      </c>
      <c r="G48" s="44">
        <f t="shared" si="6"/>
        <v>8960.380000000001</v>
      </c>
    </row>
    <row r="49" spans="1:7" ht="29.45" customHeight="1" x14ac:dyDescent="0.2">
      <c r="A49" s="818" t="s">
        <v>684</v>
      </c>
      <c r="B49" s="67">
        <f>Численность!AF28+Численность!AH28+Численность!AK28+Численность!AM28+Численность!AP28</f>
        <v>0</v>
      </c>
      <c r="C49" s="67">
        <f>Численность!AG28+Численность!AI28+Численность!AL28+Численность!AN28+Численность!AO28+Численность!AQ28+Численность!AJ28</f>
        <v>70</v>
      </c>
      <c r="D49" s="823">
        <f t="shared" si="7"/>
        <v>37442.299999999996</v>
      </c>
      <c r="E49" s="91">
        <f t="shared" si="8"/>
        <v>0</v>
      </c>
      <c r="F49" s="91">
        <f t="shared" si="9"/>
        <v>14452.2</v>
      </c>
      <c r="G49" s="44"/>
    </row>
    <row r="50" spans="1:7" ht="29.45" customHeight="1" x14ac:dyDescent="0.2">
      <c r="A50" s="818" t="s">
        <v>680</v>
      </c>
      <c r="B50" s="67">
        <f>Численность!AF29+Численность!AH29+Численность!AK29+Численность!AM29+Численность!AP29</f>
        <v>15</v>
      </c>
      <c r="C50" s="67">
        <f>Численность!AG29+Численность!AI29+Численность!AL29+Численность!AN29+Численность!AO29+Численность!AQ29+Численность!AJ29</f>
        <v>50</v>
      </c>
      <c r="D50" s="823">
        <f t="shared" si="7"/>
        <v>37174.899999999994</v>
      </c>
      <c r="E50" s="91">
        <f t="shared" si="8"/>
        <v>4025.9999999999995</v>
      </c>
      <c r="F50" s="91">
        <f t="shared" si="9"/>
        <v>10323</v>
      </c>
      <c r="G50" s="44">
        <f t="shared" si="6"/>
        <v>14349</v>
      </c>
    </row>
    <row r="51" spans="1:7" x14ac:dyDescent="0.2">
      <c r="A51" s="819" t="s">
        <v>685</v>
      </c>
      <c r="B51" s="366">
        <f t="shared" ref="B51:G51" si="10">SUM(B27:B50)</f>
        <v>583</v>
      </c>
      <c r="C51" s="366">
        <f t="shared" si="10"/>
        <v>2693</v>
      </c>
      <c r="D51" s="366">
        <f t="shared" si="10"/>
        <v>1845853.6500000001</v>
      </c>
      <c r="E51" s="366">
        <f t="shared" si="10"/>
        <v>156477.19999999998</v>
      </c>
      <c r="F51" s="366">
        <f t="shared" si="10"/>
        <v>555996.78</v>
      </c>
      <c r="G51" s="827">
        <f t="shared" si="10"/>
        <v>666784.31999999983</v>
      </c>
    </row>
    <row r="55" spans="1:7" x14ac:dyDescent="0.2">
      <c r="A55" s="14" t="s">
        <v>432</v>
      </c>
    </row>
  </sheetData>
  <mergeCells count="6">
    <mergeCell ref="A2:E3"/>
    <mergeCell ref="G2:K3"/>
    <mergeCell ref="A25:A26"/>
    <mergeCell ref="B25:C25"/>
    <mergeCell ref="D25:D26"/>
    <mergeCell ref="E25:F25"/>
  </mergeCells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55"/>
  <sheetViews>
    <sheetView view="pageBreakPreview" topLeftCell="A25" zoomScale="80" zoomScaleNormal="110" zoomScaleSheetLayoutView="80" workbookViewId="0">
      <selection activeCell="E14" sqref="E14"/>
    </sheetView>
  </sheetViews>
  <sheetFormatPr defaultColWidth="8.85546875" defaultRowHeight="12.75" x14ac:dyDescent="0.2"/>
  <cols>
    <col min="1" max="1" width="36.7109375" style="14" customWidth="1"/>
    <col min="2" max="2" width="10" style="14" customWidth="1"/>
    <col min="3" max="3" width="8.85546875" style="14" customWidth="1"/>
    <col min="4" max="4" width="11.85546875" style="14" bestFit="1" customWidth="1"/>
    <col min="5" max="5" width="13.85546875" style="14" customWidth="1"/>
    <col min="6" max="6" width="14.28515625" style="14" customWidth="1"/>
    <col min="7" max="7" width="32.28515625" style="14" customWidth="1"/>
    <col min="8" max="8" width="10.5703125" style="14" customWidth="1"/>
    <col min="9" max="9" width="8.85546875" style="14" customWidth="1"/>
    <col min="10" max="10" width="8.85546875" style="14"/>
    <col min="11" max="11" width="13.85546875" style="14" customWidth="1"/>
    <col min="12" max="12" width="26.7109375" style="14" customWidth="1"/>
    <col min="13" max="13" width="21.7109375" style="14" customWidth="1"/>
    <col min="14" max="250" width="8.85546875" style="14"/>
    <col min="251" max="251" width="29.7109375" style="14" customWidth="1"/>
    <col min="252" max="252" width="8.85546875" style="14"/>
    <col min="253" max="253" width="14.140625" style="14" customWidth="1"/>
    <col min="254" max="254" width="8.85546875" style="14"/>
    <col min="255" max="255" width="13.85546875" style="14" customWidth="1"/>
    <col min="256" max="256" width="10" style="14" customWidth="1"/>
    <col min="257" max="506" width="8.85546875" style="14"/>
    <col min="507" max="507" width="29.7109375" style="14" customWidth="1"/>
    <col min="508" max="508" width="8.85546875" style="14"/>
    <col min="509" max="509" width="14.140625" style="14" customWidth="1"/>
    <col min="510" max="510" width="8.85546875" style="14"/>
    <col min="511" max="511" width="13.85546875" style="14" customWidth="1"/>
    <col min="512" max="512" width="10" style="14" customWidth="1"/>
    <col min="513" max="762" width="8.85546875" style="14"/>
    <col min="763" max="763" width="29.7109375" style="14" customWidth="1"/>
    <col min="764" max="764" width="8.85546875" style="14"/>
    <col min="765" max="765" width="14.140625" style="14" customWidth="1"/>
    <col min="766" max="766" width="8.85546875" style="14"/>
    <col min="767" max="767" width="13.85546875" style="14" customWidth="1"/>
    <col min="768" max="768" width="10" style="14" customWidth="1"/>
    <col min="769" max="1018" width="8.85546875" style="14"/>
    <col min="1019" max="1019" width="29.7109375" style="14" customWidth="1"/>
    <col min="1020" max="1020" width="8.85546875" style="14"/>
    <col min="1021" max="1021" width="14.140625" style="14" customWidth="1"/>
    <col min="1022" max="1022" width="8.85546875" style="14"/>
    <col min="1023" max="1023" width="13.85546875" style="14" customWidth="1"/>
    <col min="1024" max="1024" width="10" style="14" customWidth="1"/>
    <col min="1025" max="1274" width="8.85546875" style="14"/>
    <col min="1275" max="1275" width="29.7109375" style="14" customWidth="1"/>
    <col min="1276" max="1276" width="8.85546875" style="14"/>
    <col min="1277" max="1277" width="14.140625" style="14" customWidth="1"/>
    <col min="1278" max="1278" width="8.85546875" style="14"/>
    <col min="1279" max="1279" width="13.85546875" style="14" customWidth="1"/>
    <col min="1280" max="1280" width="10" style="14" customWidth="1"/>
    <col min="1281" max="1530" width="8.85546875" style="14"/>
    <col min="1531" max="1531" width="29.7109375" style="14" customWidth="1"/>
    <col min="1532" max="1532" width="8.85546875" style="14"/>
    <col min="1533" max="1533" width="14.140625" style="14" customWidth="1"/>
    <col min="1534" max="1534" width="8.85546875" style="14"/>
    <col min="1535" max="1535" width="13.85546875" style="14" customWidth="1"/>
    <col min="1536" max="1536" width="10" style="14" customWidth="1"/>
    <col min="1537" max="1786" width="8.85546875" style="14"/>
    <col min="1787" max="1787" width="29.7109375" style="14" customWidth="1"/>
    <col min="1788" max="1788" width="8.85546875" style="14"/>
    <col min="1789" max="1789" width="14.140625" style="14" customWidth="1"/>
    <col min="1790" max="1790" width="8.85546875" style="14"/>
    <col min="1791" max="1791" width="13.85546875" style="14" customWidth="1"/>
    <col min="1792" max="1792" width="10" style="14" customWidth="1"/>
    <col min="1793" max="2042" width="8.85546875" style="14"/>
    <col min="2043" max="2043" width="29.7109375" style="14" customWidth="1"/>
    <col min="2044" max="2044" width="8.85546875" style="14"/>
    <col min="2045" max="2045" width="14.140625" style="14" customWidth="1"/>
    <col min="2046" max="2046" width="8.85546875" style="14"/>
    <col min="2047" max="2047" width="13.85546875" style="14" customWidth="1"/>
    <col min="2048" max="2048" width="10" style="14" customWidth="1"/>
    <col min="2049" max="2298" width="8.85546875" style="14"/>
    <col min="2299" max="2299" width="29.7109375" style="14" customWidth="1"/>
    <col min="2300" max="2300" width="8.85546875" style="14"/>
    <col min="2301" max="2301" width="14.140625" style="14" customWidth="1"/>
    <col min="2302" max="2302" width="8.85546875" style="14"/>
    <col min="2303" max="2303" width="13.85546875" style="14" customWidth="1"/>
    <col min="2304" max="2304" width="10" style="14" customWidth="1"/>
    <col min="2305" max="2554" width="8.85546875" style="14"/>
    <col min="2555" max="2555" width="29.7109375" style="14" customWidth="1"/>
    <col min="2556" max="2556" width="8.85546875" style="14"/>
    <col min="2557" max="2557" width="14.140625" style="14" customWidth="1"/>
    <col min="2558" max="2558" width="8.85546875" style="14"/>
    <col min="2559" max="2559" width="13.85546875" style="14" customWidth="1"/>
    <col min="2560" max="2560" width="10" style="14" customWidth="1"/>
    <col min="2561" max="2810" width="8.85546875" style="14"/>
    <col min="2811" max="2811" width="29.7109375" style="14" customWidth="1"/>
    <col min="2812" max="2812" width="8.85546875" style="14"/>
    <col min="2813" max="2813" width="14.140625" style="14" customWidth="1"/>
    <col min="2814" max="2814" width="8.85546875" style="14"/>
    <col min="2815" max="2815" width="13.85546875" style="14" customWidth="1"/>
    <col min="2816" max="2816" width="10" style="14" customWidth="1"/>
    <col min="2817" max="3066" width="8.85546875" style="14"/>
    <col min="3067" max="3067" width="29.7109375" style="14" customWidth="1"/>
    <col min="3068" max="3068" width="8.85546875" style="14"/>
    <col min="3069" max="3069" width="14.140625" style="14" customWidth="1"/>
    <col min="3070" max="3070" width="8.85546875" style="14"/>
    <col min="3071" max="3071" width="13.85546875" style="14" customWidth="1"/>
    <col min="3072" max="3072" width="10" style="14" customWidth="1"/>
    <col min="3073" max="3322" width="8.85546875" style="14"/>
    <col min="3323" max="3323" width="29.7109375" style="14" customWidth="1"/>
    <col min="3324" max="3324" width="8.85546875" style="14"/>
    <col min="3325" max="3325" width="14.140625" style="14" customWidth="1"/>
    <col min="3326" max="3326" width="8.85546875" style="14"/>
    <col min="3327" max="3327" width="13.85546875" style="14" customWidth="1"/>
    <col min="3328" max="3328" width="10" style="14" customWidth="1"/>
    <col min="3329" max="3578" width="8.85546875" style="14"/>
    <col min="3579" max="3579" width="29.7109375" style="14" customWidth="1"/>
    <col min="3580" max="3580" width="8.85546875" style="14"/>
    <col min="3581" max="3581" width="14.140625" style="14" customWidth="1"/>
    <col min="3582" max="3582" width="8.85546875" style="14"/>
    <col min="3583" max="3583" width="13.85546875" style="14" customWidth="1"/>
    <col min="3584" max="3584" width="10" style="14" customWidth="1"/>
    <col min="3585" max="3834" width="8.85546875" style="14"/>
    <col min="3835" max="3835" width="29.7109375" style="14" customWidth="1"/>
    <col min="3836" max="3836" width="8.85546875" style="14"/>
    <col min="3837" max="3837" width="14.140625" style="14" customWidth="1"/>
    <col min="3838" max="3838" width="8.85546875" style="14"/>
    <col min="3839" max="3839" width="13.85546875" style="14" customWidth="1"/>
    <col min="3840" max="3840" width="10" style="14" customWidth="1"/>
    <col min="3841" max="4090" width="8.85546875" style="14"/>
    <col min="4091" max="4091" width="29.7109375" style="14" customWidth="1"/>
    <col min="4092" max="4092" width="8.85546875" style="14"/>
    <col min="4093" max="4093" width="14.140625" style="14" customWidth="1"/>
    <col min="4094" max="4094" width="8.85546875" style="14"/>
    <col min="4095" max="4095" width="13.85546875" style="14" customWidth="1"/>
    <col min="4096" max="4096" width="10" style="14" customWidth="1"/>
    <col min="4097" max="4346" width="8.85546875" style="14"/>
    <col min="4347" max="4347" width="29.7109375" style="14" customWidth="1"/>
    <col min="4348" max="4348" width="8.85546875" style="14"/>
    <col min="4349" max="4349" width="14.140625" style="14" customWidth="1"/>
    <col min="4350" max="4350" width="8.85546875" style="14"/>
    <col min="4351" max="4351" width="13.85546875" style="14" customWidth="1"/>
    <col min="4352" max="4352" width="10" style="14" customWidth="1"/>
    <col min="4353" max="4602" width="8.85546875" style="14"/>
    <col min="4603" max="4603" width="29.7109375" style="14" customWidth="1"/>
    <col min="4604" max="4604" width="8.85546875" style="14"/>
    <col min="4605" max="4605" width="14.140625" style="14" customWidth="1"/>
    <col min="4606" max="4606" width="8.85546875" style="14"/>
    <col min="4607" max="4607" width="13.85546875" style="14" customWidth="1"/>
    <col min="4608" max="4608" width="10" style="14" customWidth="1"/>
    <col min="4609" max="4858" width="8.85546875" style="14"/>
    <col min="4859" max="4859" width="29.7109375" style="14" customWidth="1"/>
    <col min="4860" max="4860" width="8.85546875" style="14"/>
    <col min="4861" max="4861" width="14.140625" style="14" customWidth="1"/>
    <col min="4862" max="4862" width="8.85546875" style="14"/>
    <col min="4863" max="4863" width="13.85546875" style="14" customWidth="1"/>
    <col min="4864" max="4864" width="10" style="14" customWidth="1"/>
    <col min="4865" max="5114" width="8.85546875" style="14"/>
    <col min="5115" max="5115" width="29.7109375" style="14" customWidth="1"/>
    <col min="5116" max="5116" width="8.85546875" style="14"/>
    <col min="5117" max="5117" width="14.140625" style="14" customWidth="1"/>
    <col min="5118" max="5118" width="8.85546875" style="14"/>
    <col min="5119" max="5119" width="13.85546875" style="14" customWidth="1"/>
    <col min="5120" max="5120" width="10" style="14" customWidth="1"/>
    <col min="5121" max="5370" width="8.85546875" style="14"/>
    <col min="5371" max="5371" width="29.7109375" style="14" customWidth="1"/>
    <col min="5372" max="5372" width="8.85546875" style="14"/>
    <col min="5373" max="5373" width="14.140625" style="14" customWidth="1"/>
    <col min="5374" max="5374" width="8.85546875" style="14"/>
    <col min="5375" max="5375" width="13.85546875" style="14" customWidth="1"/>
    <col min="5376" max="5376" width="10" style="14" customWidth="1"/>
    <col min="5377" max="5626" width="8.85546875" style="14"/>
    <col min="5627" max="5627" width="29.7109375" style="14" customWidth="1"/>
    <col min="5628" max="5628" width="8.85546875" style="14"/>
    <col min="5629" max="5629" width="14.140625" style="14" customWidth="1"/>
    <col min="5630" max="5630" width="8.85546875" style="14"/>
    <col min="5631" max="5631" width="13.85546875" style="14" customWidth="1"/>
    <col min="5632" max="5632" width="10" style="14" customWidth="1"/>
    <col min="5633" max="5882" width="8.85546875" style="14"/>
    <col min="5883" max="5883" width="29.7109375" style="14" customWidth="1"/>
    <col min="5884" max="5884" width="8.85546875" style="14"/>
    <col min="5885" max="5885" width="14.140625" style="14" customWidth="1"/>
    <col min="5886" max="5886" width="8.85546875" style="14"/>
    <col min="5887" max="5887" width="13.85546875" style="14" customWidth="1"/>
    <col min="5888" max="5888" width="10" style="14" customWidth="1"/>
    <col min="5889" max="6138" width="8.85546875" style="14"/>
    <col min="6139" max="6139" width="29.7109375" style="14" customWidth="1"/>
    <col min="6140" max="6140" width="8.85546875" style="14"/>
    <col min="6141" max="6141" width="14.140625" style="14" customWidth="1"/>
    <col min="6142" max="6142" width="8.85546875" style="14"/>
    <col min="6143" max="6143" width="13.85546875" style="14" customWidth="1"/>
    <col min="6144" max="6144" width="10" style="14" customWidth="1"/>
    <col min="6145" max="6394" width="8.85546875" style="14"/>
    <col min="6395" max="6395" width="29.7109375" style="14" customWidth="1"/>
    <col min="6396" max="6396" width="8.85546875" style="14"/>
    <col min="6397" max="6397" width="14.140625" style="14" customWidth="1"/>
    <col min="6398" max="6398" width="8.85546875" style="14"/>
    <col min="6399" max="6399" width="13.85546875" style="14" customWidth="1"/>
    <col min="6400" max="6400" width="10" style="14" customWidth="1"/>
    <col min="6401" max="6650" width="8.85546875" style="14"/>
    <col min="6651" max="6651" width="29.7109375" style="14" customWidth="1"/>
    <col min="6652" max="6652" width="8.85546875" style="14"/>
    <col min="6653" max="6653" width="14.140625" style="14" customWidth="1"/>
    <col min="6654" max="6654" width="8.85546875" style="14"/>
    <col min="6655" max="6655" width="13.85546875" style="14" customWidth="1"/>
    <col min="6656" max="6656" width="10" style="14" customWidth="1"/>
    <col min="6657" max="6906" width="8.85546875" style="14"/>
    <col min="6907" max="6907" width="29.7109375" style="14" customWidth="1"/>
    <col min="6908" max="6908" width="8.85546875" style="14"/>
    <col min="6909" max="6909" width="14.140625" style="14" customWidth="1"/>
    <col min="6910" max="6910" width="8.85546875" style="14"/>
    <col min="6911" max="6911" width="13.85546875" style="14" customWidth="1"/>
    <col min="6912" max="6912" width="10" style="14" customWidth="1"/>
    <col min="6913" max="7162" width="8.85546875" style="14"/>
    <col min="7163" max="7163" width="29.7109375" style="14" customWidth="1"/>
    <col min="7164" max="7164" width="8.85546875" style="14"/>
    <col min="7165" max="7165" width="14.140625" style="14" customWidth="1"/>
    <col min="7166" max="7166" width="8.85546875" style="14"/>
    <col min="7167" max="7167" width="13.85546875" style="14" customWidth="1"/>
    <col min="7168" max="7168" width="10" style="14" customWidth="1"/>
    <col min="7169" max="7418" width="8.85546875" style="14"/>
    <col min="7419" max="7419" width="29.7109375" style="14" customWidth="1"/>
    <col min="7420" max="7420" width="8.85546875" style="14"/>
    <col min="7421" max="7421" width="14.140625" style="14" customWidth="1"/>
    <col min="7422" max="7422" width="8.85546875" style="14"/>
    <col min="7423" max="7423" width="13.85546875" style="14" customWidth="1"/>
    <col min="7424" max="7424" width="10" style="14" customWidth="1"/>
    <col min="7425" max="7674" width="8.85546875" style="14"/>
    <col min="7675" max="7675" width="29.7109375" style="14" customWidth="1"/>
    <col min="7676" max="7676" width="8.85546875" style="14"/>
    <col min="7677" max="7677" width="14.140625" style="14" customWidth="1"/>
    <col min="7678" max="7678" width="8.85546875" style="14"/>
    <col min="7679" max="7679" width="13.85546875" style="14" customWidth="1"/>
    <col min="7680" max="7680" width="10" style="14" customWidth="1"/>
    <col min="7681" max="7930" width="8.85546875" style="14"/>
    <col min="7931" max="7931" width="29.7109375" style="14" customWidth="1"/>
    <col min="7932" max="7932" width="8.85546875" style="14"/>
    <col min="7933" max="7933" width="14.140625" style="14" customWidth="1"/>
    <col min="7934" max="7934" width="8.85546875" style="14"/>
    <col min="7935" max="7935" width="13.85546875" style="14" customWidth="1"/>
    <col min="7936" max="7936" width="10" style="14" customWidth="1"/>
    <col min="7937" max="8186" width="8.85546875" style="14"/>
    <col min="8187" max="8187" width="29.7109375" style="14" customWidth="1"/>
    <col min="8188" max="8188" width="8.85546875" style="14"/>
    <col min="8189" max="8189" width="14.140625" style="14" customWidth="1"/>
    <col min="8190" max="8190" width="8.85546875" style="14"/>
    <col min="8191" max="8191" width="13.85546875" style="14" customWidth="1"/>
    <col min="8192" max="8192" width="10" style="14" customWidth="1"/>
    <col min="8193" max="8442" width="8.85546875" style="14"/>
    <col min="8443" max="8443" width="29.7109375" style="14" customWidth="1"/>
    <col min="8444" max="8444" width="8.85546875" style="14"/>
    <col min="8445" max="8445" width="14.140625" style="14" customWidth="1"/>
    <col min="8446" max="8446" width="8.85546875" style="14"/>
    <col min="8447" max="8447" width="13.85546875" style="14" customWidth="1"/>
    <col min="8448" max="8448" width="10" style="14" customWidth="1"/>
    <col min="8449" max="8698" width="8.85546875" style="14"/>
    <col min="8699" max="8699" width="29.7109375" style="14" customWidth="1"/>
    <col min="8700" max="8700" width="8.85546875" style="14"/>
    <col min="8701" max="8701" width="14.140625" style="14" customWidth="1"/>
    <col min="8702" max="8702" width="8.85546875" style="14"/>
    <col min="8703" max="8703" width="13.85546875" style="14" customWidth="1"/>
    <col min="8704" max="8704" width="10" style="14" customWidth="1"/>
    <col min="8705" max="8954" width="8.85546875" style="14"/>
    <col min="8955" max="8955" width="29.7109375" style="14" customWidth="1"/>
    <col min="8956" max="8956" width="8.85546875" style="14"/>
    <col min="8957" max="8957" width="14.140625" style="14" customWidth="1"/>
    <col min="8958" max="8958" width="8.85546875" style="14"/>
    <col min="8959" max="8959" width="13.85546875" style="14" customWidth="1"/>
    <col min="8960" max="8960" width="10" style="14" customWidth="1"/>
    <col min="8961" max="9210" width="8.85546875" style="14"/>
    <col min="9211" max="9211" width="29.7109375" style="14" customWidth="1"/>
    <col min="9212" max="9212" width="8.85546875" style="14"/>
    <col min="9213" max="9213" width="14.140625" style="14" customWidth="1"/>
    <col min="9214" max="9214" width="8.85546875" style="14"/>
    <col min="9215" max="9215" width="13.85546875" style="14" customWidth="1"/>
    <col min="9216" max="9216" width="10" style="14" customWidth="1"/>
    <col min="9217" max="9466" width="8.85546875" style="14"/>
    <col min="9467" max="9467" width="29.7109375" style="14" customWidth="1"/>
    <col min="9468" max="9468" width="8.85546875" style="14"/>
    <col min="9469" max="9469" width="14.140625" style="14" customWidth="1"/>
    <col min="9470" max="9470" width="8.85546875" style="14"/>
    <col min="9471" max="9471" width="13.85546875" style="14" customWidth="1"/>
    <col min="9472" max="9472" width="10" style="14" customWidth="1"/>
    <col min="9473" max="9722" width="8.85546875" style="14"/>
    <col min="9723" max="9723" width="29.7109375" style="14" customWidth="1"/>
    <col min="9724" max="9724" width="8.85546875" style="14"/>
    <col min="9725" max="9725" width="14.140625" style="14" customWidth="1"/>
    <col min="9726" max="9726" width="8.85546875" style="14"/>
    <col min="9727" max="9727" width="13.85546875" style="14" customWidth="1"/>
    <col min="9728" max="9728" width="10" style="14" customWidth="1"/>
    <col min="9729" max="9978" width="8.85546875" style="14"/>
    <col min="9979" max="9979" width="29.7109375" style="14" customWidth="1"/>
    <col min="9980" max="9980" width="8.85546875" style="14"/>
    <col min="9981" max="9981" width="14.140625" style="14" customWidth="1"/>
    <col min="9982" max="9982" width="8.85546875" style="14"/>
    <col min="9983" max="9983" width="13.85546875" style="14" customWidth="1"/>
    <col min="9984" max="9984" width="10" style="14" customWidth="1"/>
    <col min="9985" max="10234" width="8.85546875" style="14"/>
    <col min="10235" max="10235" width="29.7109375" style="14" customWidth="1"/>
    <col min="10236" max="10236" width="8.85546875" style="14"/>
    <col min="10237" max="10237" width="14.140625" style="14" customWidth="1"/>
    <col min="10238" max="10238" width="8.85546875" style="14"/>
    <col min="10239" max="10239" width="13.85546875" style="14" customWidth="1"/>
    <col min="10240" max="10240" width="10" style="14" customWidth="1"/>
    <col min="10241" max="10490" width="8.85546875" style="14"/>
    <col min="10491" max="10491" width="29.7109375" style="14" customWidth="1"/>
    <col min="10492" max="10492" width="8.85546875" style="14"/>
    <col min="10493" max="10493" width="14.140625" style="14" customWidth="1"/>
    <col min="10494" max="10494" width="8.85546875" style="14"/>
    <col min="10495" max="10495" width="13.85546875" style="14" customWidth="1"/>
    <col min="10496" max="10496" width="10" style="14" customWidth="1"/>
    <col min="10497" max="10746" width="8.85546875" style="14"/>
    <col min="10747" max="10747" width="29.7109375" style="14" customWidth="1"/>
    <col min="10748" max="10748" width="8.85546875" style="14"/>
    <col min="10749" max="10749" width="14.140625" style="14" customWidth="1"/>
    <col min="10750" max="10750" width="8.85546875" style="14"/>
    <col min="10751" max="10751" width="13.85546875" style="14" customWidth="1"/>
    <col min="10752" max="10752" width="10" style="14" customWidth="1"/>
    <col min="10753" max="11002" width="8.85546875" style="14"/>
    <col min="11003" max="11003" width="29.7109375" style="14" customWidth="1"/>
    <col min="11004" max="11004" width="8.85546875" style="14"/>
    <col min="11005" max="11005" width="14.140625" style="14" customWidth="1"/>
    <col min="11006" max="11006" width="8.85546875" style="14"/>
    <col min="11007" max="11007" width="13.85546875" style="14" customWidth="1"/>
    <col min="11008" max="11008" width="10" style="14" customWidth="1"/>
    <col min="11009" max="11258" width="8.85546875" style="14"/>
    <col min="11259" max="11259" width="29.7109375" style="14" customWidth="1"/>
    <col min="11260" max="11260" width="8.85546875" style="14"/>
    <col min="11261" max="11261" width="14.140625" style="14" customWidth="1"/>
    <col min="11262" max="11262" width="8.85546875" style="14"/>
    <col min="11263" max="11263" width="13.85546875" style="14" customWidth="1"/>
    <col min="11264" max="11264" width="10" style="14" customWidth="1"/>
    <col min="11265" max="11514" width="8.85546875" style="14"/>
    <col min="11515" max="11515" width="29.7109375" style="14" customWidth="1"/>
    <col min="11516" max="11516" width="8.85546875" style="14"/>
    <col min="11517" max="11517" width="14.140625" style="14" customWidth="1"/>
    <col min="11518" max="11518" width="8.85546875" style="14"/>
    <col min="11519" max="11519" width="13.85546875" style="14" customWidth="1"/>
    <col min="11520" max="11520" width="10" style="14" customWidth="1"/>
    <col min="11521" max="11770" width="8.85546875" style="14"/>
    <col min="11771" max="11771" width="29.7109375" style="14" customWidth="1"/>
    <col min="11772" max="11772" width="8.85546875" style="14"/>
    <col min="11773" max="11773" width="14.140625" style="14" customWidth="1"/>
    <col min="11774" max="11774" width="8.85546875" style="14"/>
    <col min="11775" max="11775" width="13.85546875" style="14" customWidth="1"/>
    <col min="11776" max="11776" width="10" style="14" customWidth="1"/>
    <col min="11777" max="12026" width="8.85546875" style="14"/>
    <col min="12027" max="12027" width="29.7109375" style="14" customWidth="1"/>
    <col min="12028" max="12028" width="8.85546875" style="14"/>
    <col min="12029" max="12029" width="14.140625" style="14" customWidth="1"/>
    <col min="12030" max="12030" width="8.85546875" style="14"/>
    <col min="12031" max="12031" width="13.85546875" style="14" customWidth="1"/>
    <col min="12032" max="12032" width="10" style="14" customWidth="1"/>
    <col min="12033" max="12282" width="8.85546875" style="14"/>
    <col min="12283" max="12283" width="29.7109375" style="14" customWidth="1"/>
    <col min="12284" max="12284" width="8.85546875" style="14"/>
    <col min="12285" max="12285" width="14.140625" style="14" customWidth="1"/>
    <col min="12286" max="12286" width="8.85546875" style="14"/>
    <col min="12287" max="12287" width="13.85546875" style="14" customWidth="1"/>
    <col min="12288" max="12288" width="10" style="14" customWidth="1"/>
    <col min="12289" max="12538" width="8.85546875" style="14"/>
    <col min="12539" max="12539" width="29.7109375" style="14" customWidth="1"/>
    <col min="12540" max="12540" width="8.85546875" style="14"/>
    <col min="12541" max="12541" width="14.140625" style="14" customWidth="1"/>
    <col min="12542" max="12542" width="8.85546875" style="14"/>
    <col min="12543" max="12543" width="13.85546875" style="14" customWidth="1"/>
    <col min="12544" max="12544" width="10" style="14" customWidth="1"/>
    <col min="12545" max="12794" width="8.85546875" style="14"/>
    <col min="12795" max="12795" width="29.7109375" style="14" customWidth="1"/>
    <col min="12796" max="12796" width="8.85546875" style="14"/>
    <col min="12797" max="12797" width="14.140625" style="14" customWidth="1"/>
    <col min="12798" max="12798" width="8.85546875" style="14"/>
    <col min="12799" max="12799" width="13.85546875" style="14" customWidth="1"/>
    <col min="12800" max="12800" width="10" style="14" customWidth="1"/>
    <col min="12801" max="13050" width="8.85546875" style="14"/>
    <col min="13051" max="13051" width="29.7109375" style="14" customWidth="1"/>
    <col min="13052" max="13052" width="8.85546875" style="14"/>
    <col min="13053" max="13053" width="14.140625" style="14" customWidth="1"/>
    <col min="13054" max="13054" width="8.85546875" style="14"/>
    <col min="13055" max="13055" width="13.85546875" style="14" customWidth="1"/>
    <col min="13056" max="13056" width="10" style="14" customWidth="1"/>
    <col min="13057" max="13306" width="8.85546875" style="14"/>
    <col min="13307" max="13307" width="29.7109375" style="14" customWidth="1"/>
    <col min="13308" max="13308" width="8.85546875" style="14"/>
    <col min="13309" max="13309" width="14.140625" style="14" customWidth="1"/>
    <col min="13310" max="13310" width="8.85546875" style="14"/>
    <col min="13311" max="13311" width="13.85546875" style="14" customWidth="1"/>
    <col min="13312" max="13312" width="10" style="14" customWidth="1"/>
    <col min="13313" max="13562" width="8.85546875" style="14"/>
    <col min="13563" max="13563" width="29.7109375" style="14" customWidth="1"/>
    <col min="13564" max="13564" width="8.85546875" style="14"/>
    <col min="13565" max="13565" width="14.140625" style="14" customWidth="1"/>
    <col min="13566" max="13566" width="8.85546875" style="14"/>
    <col min="13567" max="13567" width="13.85546875" style="14" customWidth="1"/>
    <col min="13568" max="13568" width="10" style="14" customWidth="1"/>
    <col min="13569" max="13818" width="8.85546875" style="14"/>
    <col min="13819" max="13819" width="29.7109375" style="14" customWidth="1"/>
    <col min="13820" max="13820" width="8.85546875" style="14"/>
    <col min="13821" max="13821" width="14.140625" style="14" customWidth="1"/>
    <col min="13822" max="13822" width="8.85546875" style="14"/>
    <col min="13823" max="13823" width="13.85546875" style="14" customWidth="1"/>
    <col min="13824" max="13824" width="10" style="14" customWidth="1"/>
    <col min="13825" max="14074" width="8.85546875" style="14"/>
    <col min="14075" max="14075" width="29.7109375" style="14" customWidth="1"/>
    <col min="14076" max="14076" width="8.85546875" style="14"/>
    <col min="14077" max="14077" width="14.140625" style="14" customWidth="1"/>
    <col min="14078" max="14078" width="8.85546875" style="14"/>
    <col min="14079" max="14079" width="13.85546875" style="14" customWidth="1"/>
    <col min="14080" max="14080" width="10" style="14" customWidth="1"/>
    <col min="14081" max="14330" width="8.85546875" style="14"/>
    <col min="14331" max="14331" width="29.7109375" style="14" customWidth="1"/>
    <col min="14332" max="14332" width="8.85546875" style="14"/>
    <col min="14333" max="14333" width="14.140625" style="14" customWidth="1"/>
    <col min="14334" max="14334" width="8.85546875" style="14"/>
    <col min="14335" max="14335" width="13.85546875" style="14" customWidth="1"/>
    <col min="14336" max="14336" width="10" style="14" customWidth="1"/>
    <col min="14337" max="14586" width="8.85546875" style="14"/>
    <col min="14587" max="14587" width="29.7109375" style="14" customWidth="1"/>
    <col min="14588" max="14588" width="8.85546875" style="14"/>
    <col min="14589" max="14589" width="14.140625" style="14" customWidth="1"/>
    <col min="14590" max="14590" width="8.85546875" style="14"/>
    <col min="14591" max="14591" width="13.85546875" style="14" customWidth="1"/>
    <col min="14592" max="14592" width="10" style="14" customWidth="1"/>
    <col min="14593" max="14842" width="8.85546875" style="14"/>
    <col min="14843" max="14843" width="29.7109375" style="14" customWidth="1"/>
    <col min="14844" max="14844" width="8.85546875" style="14"/>
    <col min="14845" max="14845" width="14.140625" style="14" customWidth="1"/>
    <col min="14846" max="14846" width="8.85546875" style="14"/>
    <col min="14847" max="14847" width="13.85546875" style="14" customWidth="1"/>
    <col min="14848" max="14848" width="10" style="14" customWidth="1"/>
    <col min="14849" max="15098" width="8.85546875" style="14"/>
    <col min="15099" max="15099" width="29.7109375" style="14" customWidth="1"/>
    <col min="15100" max="15100" width="8.85546875" style="14"/>
    <col min="15101" max="15101" width="14.140625" style="14" customWidth="1"/>
    <col min="15102" max="15102" width="8.85546875" style="14"/>
    <col min="15103" max="15103" width="13.85546875" style="14" customWidth="1"/>
    <col min="15104" max="15104" width="10" style="14" customWidth="1"/>
    <col min="15105" max="15354" width="8.85546875" style="14"/>
    <col min="15355" max="15355" width="29.7109375" style="14" customWidth="1"/>
    <col min="15356" max="15356" width="8.85546875" style="14"/>
    <col min="15357" max="15357" width="14.140625" style="14" customWidth="1"/>
    <col min="15358" max="15358" width="8.85546875" style="14"/>
    <col min="15359" max="15359" width="13.85546875" style="14" customWidth="1"/>
    <col min="15360" max="15360" width="10" style="14" customWidth="1"/>
    <col min="15361" max="15610" width="8.85546875" style="14"/>
    <col min="15611" max="15611" width="29.7109375" style="14" customWidth="1"/>
    <col min="15612" max="15612" width="8.85546875" style="14"/>
    <col min="15613" max="15613" width="14.140625" style="14" customWidth="1"/>
    <col min="15614" max="15614" width="8.85546875" style="14"/>
    <col min="15615" max="15615" width="13.85546875" style="14" customWidth="1"/>
    <col min="15616" max="15616" width="10" style="14" customWidth="1"/>
    <col min="15617" max="15866" width="8.85546875" style="14"/>
    <col min="15867" max="15867" width="29.7109375" style="14" customWidth="1"/>
    <col min="15868" max="15868" width="8.85546875" style="14"/>
    <col min="15869" max="15869" width="14.140625" style="14" customWidth="1"/>
    <col min="15870" max="15870" width="8.85546875" style="14"/>
    <col min="15871" max="15871" width="13.85546875" style="14" customWidth="1"/>
    <col min="15872" max="15872" width="10" style="14" customWidth="1"/>
    <col min="15873" max="16122" width="8.85546875" style="14"/>
    <col min="16123" max="16123" width="29.7109375" style="14" customWidth="1"/>
    <col min="16124" max="16124" width="8.85546875" style="14"/>
    <col min="16125" max="16125" width="14.140625" style="14" customWidth="1"/>
    <col min="16126" max="16126" width="8.85546875" style="14"/>
    <col min="16127" max="16127" width="13.85546875" style="14" customWidth="1"/>
    <col min="16128" max="16128" width="10" style="14" customWidth="1"/>
    <col min="16129" max="16384" width="8.85546875" style="14"/>
  </cols>
  <sheetData>
    <row r="1" spans="1:13" x14ac:dyDescent="0.2">
      <c r="L1" s="953" t="s">
        <v>744</v>
      </c>
    </row>
    <row r="2" spans="1:13" ht="15" customHeight="1" x14ac:dyDescent="0.2">
      <c r="A2" s="1193" t="s">
        <v>707</v>
      </c>
      <c r="B2" s="1194"/>
      <c r="C2" s="1194"/>
      <c r="D2" s="1194"/>
      <c r="E2" s="1194"/>
      <c r="F2" s="958"/>
      <c r="G2" s="1193" t="s">
        <v>708</v>
      </c>
      <c r="H2" s="1194"/>
      <c r="I2" s="1194"/>
      <c r="J2" s="1194"/>
      <c r="K2" s="1194"/>
      <c r="L2" s="14" t="s">
        <v>261</v>
      </c>
      <c r="M2" s="14" t="s">
        <v>262</v>
      </c>
    </row>
    <row r="3" spans="1:13" x14ac:dyDescent="0.2">
      <c r="A3" s="1194"/>
      <c r="B3" s="1194"/>
      <c r="C3" s="1194"/>
      <c r="D3" s="1194"/>
      <c r="E3" s="1194"/>
      <c r="G3" s="1194"/>
      <c r="H3" s="1194"/>
      <c r="I3" s="1194"/>
      <c r="J3" s="1194"/>
      <c r="K3" s="1194"/>
      <c r="L3" s="953">
        <v>25</v>
      </c>
      <c r="M3" s="953">
        <v>27</v>
      </c>
    </row>
    <row r="4" spans="1:13" ht="14.25" x14ac:dyDescent="0.2">
      <c r="A4" s="42"/>
      <c r="D4" s="43" t="s">
        <v>748</v>
      </c>
      <c r="G4" s="42"/>
      <c r="J4" s="43"/>
    </row>
    <row r="5" spans="1:13" ht="60" customHeight="1" x14ac:dyDescent="0.2">
      <c r="A5" s="961" t="s">
        <v>171</v>
      </c>
      <c r="B5" s="961" t="s">
        <v>99</v>
      </c>
      <c r="C5" s="961" t="s">
        <v>316</v>
      </c>
      <c r="D5" s="959" t="s">
        <v>40</v>
      </c>
      <c r="E5" s="31" t="s">
        <v>6</v>
      </c>
      <c r="G5" s="961" t="s">
        <v>171</v>
      </c>
      <c r="H5" s="961" t="s">
        <v>99</v>
      </c>
      <c r="I5" s="961" t="s">
        <v>316</v>
      </c>
      <c r="J5" s="959" t="s">
        <v>40</v>
      </c>
      <c r="K5" s="31" t="s">
        <v>6</v>
      </c>
    </row>
    <row r="6" spans="1:13" x14ac:dyDescent="0.2">
      <c r="A6" s="35" t="s">
        <v>108</v>
      </c>
      <c r="B6" s="36" t="s">
        <v>73</v>
      </c>
      <c r="C6" s="36">
        <f>4*12</f>
        <v>48</v>
      </c>
      <c r="D6" s="230">
        <f>ROUND(29,2)</f>
        <v>29</v>
      </c>
      <c r="E6" s="45">
        <f>ROUND(D6*C6,2)</f>
        <v>1392</v>
      </c>
      <c r="G6" s="35" t="s">
        <v>108</v>
      </c>
      <c r="H6" s="36" t="s">
        <v>73</v>
      </c>
      <c r="I6" s="36">
        <f>4*12</f>
        <v>48</v>
      </c>
      <c r="J6" s="230">
        <f>D6</f>
        <v>29</v>
      </c>
      <c r="K6" s="45">
        <f>ROUND(J6*I6,2)</f>
        <v>1392</v>
      </c>
    </row>
    <row r="7" spans="1:13" x14ac:dyDescent="0.2">
      <c r="A7" s="35" t="s">
        <v>109</v>
      </c>
      <c r="B7" s="36" t="s">
        <v>73</v>
      </c>
      <c r="C7" s="36">
        <f>5*12</f>
        <v>60</v>
      </c>
      <c r="D7" s="230">
        <f>ROUND(31,2)</f>
        <v>31</v>
      </c>
      <c r="E7" s="45">
        <f t="shared" ref="E7:E12" si="0">ROUND(D7*C7,2)</f>
        <v>1860</v>
      </c>
      <c r="G7" s="35" t="s">
        <v>109</v>
      </c>
      <c r="H7" s="36" t="s">
        <v>73</v>
      </c>
      <c r="I7" s="36">
        <f>5*12</f>
        <v>60</v>
      </c>
      <c r="J7" s="230">
        <f t="shared" ref="J7:J13" si="1">D7</f>
        <v>31</v>
      </c>
      <c r="K7" s="45">
        <f t="shared" ref="K7:K12" si="2">ROUND(J7*I7,2)</f>
        <v>1860</v>
      </c>
    </row>
    <row r="8" spans="1:13" x14ac:dyDescent="0.2">
      <c r="A8" s="46" t="s">
        <v>110</v>
      </c>
      <c r="B8" s="36" t="s">
        <v>73</v>
      </c>
      <c r="C8" s="36">
        <f>1*12</f>
        <v>12</v>
      </c>
      <c r="D8" s="230">
        <f>ROUND(68,2)</f>
        <v>68</v>
      </c>
      <c r="E8" s="45">
        <f t="shared" si="0"/>
        <v>816</v>
      </c>
      <c r="G8" s="35" t="s">
        <v>110</v>
      </c>
      <c r="H8" s="36" t="s">
        <v>73</v>
      </c>
      <c r="I8" s="36">
        <f>1*12</f>
        <v>12</v>
      </c>
      <c r="J8" s="230">
        <f t="shared" si="1"/>
        <v>68</v>
      </c>
      <c r="K8" s="45">
        <f t="shared" si="2"/>
        <v>816</v>
      </c>
    </row>
    <row r="9" spans="1:13" x14ac:dyDescent="0.2">
      <c r="A9" s="46" t="s">
        <v>111</v>
      </c>
      <c r="B9" s="36" t="s">
        <v>73</v>
      </c>
      <c r="C9" s="36">
        <f>1*12</f>
        <v>12</v>
      </c>
      <c r="D9" s="230">
        <f>ROUND(45,2)</f>
        <v>45</v>
      </c>
      <c r="E9" s="45">
        <f t="shared" si="0"/>
        <v>540</v>
      </c>
      <c r="G9" s="35" t="s">
        <v>111</v>
      </c>
      <c r="H9" s="36" t="s">
        <v>73</v>
      </c>
      <c r="I9" s="36">
        <f>1*12</f>
        <v>12</v>
      </c>
      <c r="J9" s="230">
        <f t="shared" si="1"/>
        <v>45</v>
      </c>
      <c r="K9" s="45">
        <f t="shared" si="2"/>
        <v>540</v>
      </c>
    </row>
    <row r="10" spans="1:13" x14ac:dyDescent="0.2">
      <c r="A10" s="46" t="s">
        <v>112</v>
      </c>
      <c r="B10" s="39" t="s">
        <v>73</v>
      </c>
      <c r="C10" s="39">
        <f>1*12</f>
        <v>12</v>
      </c>
      <c r="D10" s="230">
        <f>ROUND(43,2)</f>
        <v>43</v>
      </c>
      <c r="E10" s="161">
        <f t="shared" si="0"/>
        <v>516</v>
      </c>
      <c r="G10" s="46" t="s">
        <v>112</v>
      </c>
      <c r="H10" s="39" t="s">
        <v>73</v>
      </c>
      <c r="I10" s="39">
        <f>1*12</f>
        <v>12</v>
      </c>
      <c r="J10" s="230">
        <f t="shared" si="1"/>
        <v>43</v>
      </c>
      <c r="K10" s="161">
        <f t="shared" si="2"/>
        <v>516</v>
      </c>
    </row>
    <row r="11" spans="1:13" x14ac:dyDescent="0.2">
      <c r="A11" s="46" t="s">
        <v>113</v>
      </c>
      <c r="B11" s="36" t="s">
        <v>73</v>
      </c>
      <c r="C11" s="36">
        <f>1*12</f>
        <v>12</v>
      </c>
      <c r="D11" s="230">
        <f>ROUND(46,2)</f>
        <v>46</v>
      </c>
      <c r="E11" s="45">
        <f t="shared" si="0"/>
        <v>552</v>
      </c>
      <c r="G11" s="35" t="s">
        <v>113</v>
      </c>
      <c r="H11" s="36" t="s">
        <v>73</v>
      </c>
      <c r="I11" s="36">
        <f>1*12</f>
        <v>12</v>
      </c>
      <c r="J11" s="230">
        <f t="shared" si="1"/>
        <v>46</v>
      </c>
      <c r="K11" s="45">
        <f t="shared" si="2"/>
        <v>552</v>
      </c>
    </row>
    <row r="12" spans="1:13" x14ac:dyDescent="0.2">
      <c r="A12" s="46" t="s">
        <v>114</v>
      </c>
      <c r="B12" s="36" t="s">
        <v>106</v>
      </c>
      <c r="C12" s="36">
        <f>2*12</f>
        <v>24</v>
      </c>
      <c r="D12" s="230">
        <f>ROUND(225/1.5,2)</f>
        <v>150</v>
      </c>
      <c r="E12" s="45">
        <f t="shared" si="0"/>
        <v>3600</v>
      </c>
      <c r="G12" s="35" t="s">
        <v>114</v>
      </c>
      <c r="H12" s="36" t="s">
        <v>106</v>
      </c>
      <c r="I12" s="36">
        <f>2*12</f>
        <v>24</v>
      </c>
      <c r="J12" s="230">
        <f t="shared" si="1"/>
        <v>150</v>
      </c>
      <c r="K12" s="45">
        <f t="shared" si="2"/>
        <v>3600</v>
      </c>
    </row>
    <row r="13" spans="1:13" x14ac:dyDescent="0.2">
      <c r="A13" s="40" t="s">
        <v>115</v>
      </c>
      <c r="B13" s="20"/>
      <c r="C13" s="47">
        <f>SUM(C6:C12)</f>
        <v>180</v>
      </c>
      <c r="D13" s="231">
        <f>SUM(D6:D12)</f>
        <v>412</v>
      </c>
      <c r="E13" s="48">
        <f>SUM(E6:E12)</f>
        <v>9276</v>
      </c>
      <c r="G13" s="40" t="s">
        <v>115</v>
      </c>
      <c r="H13" s="20"/>
      <c r="I13" s="47">
        <f>SUM(I6:I12)</f>
        <v>180</v>
      </c>
      <c r="J13" s="230">
        <f t="shared" si="1"/>
        <v>412</v>
      </c>
      <c r="K13" s="48">
        <f>SUM(K6:K12)</f>
        <v>9276</v>
      </c>
    </row>
    <row r="14" spans="1:13" x14ac:dyDescent="0.2">
      <c r="A14" s="487" t="s">
        <v>177</v>
      </c>
      <c r="B14" s="487"/>
      <c r="C14" s="490">
        <f>ROUND(C13/L3,3)</f>
        <v>7.2</v>
      </c>
      <c r="D14" s="487"/>
      <c r="E14" s="97">
        <f>ROUND(E13/L3,2)</f>
        <v>371.04</v>
      </c>
      <c r="G14" s="487" t="s">
        <v>177</v>
      </c>
      <c r="H14" s="487"/>
      <c r="I14" s="490">
        <f>ROUND(I13/M3,3)</f>
        <v>6.6669999999999998</v>
      </c>
      <c r="J14" s="487"/>
      <c r="K14" s="97">
        <f>ROUND(K13/M3,2)</f>
        <v>343.56</v>
      </c>
    </row>
    <row r="15" spans="1:13" x14ac:dyDescent="0.2">
      <c r="E15" s="43"/>
      <c r="K15" s="43"/>
    </row>
    <row r="16" spans="1:13" x14ac:dyDescent="0.2">
      <c r="A16" s="14" t="s">
        <v>116</v>
      </c>
      <c r="E16" s="43"/>
      <c r="G16" s="14" t="s">
        <v>116</v>
      </c>
      <c r="K16" s="43"/>
    </row>
    <row r="17" spans="1:11" ht="53.25" customHeight="1" x14ac:dyDescent="0.2">
      <c r="A17" s="961" t="s">
        <v>71</v>
      </c>
      <c r="B17" s="961" t="s">
        <v>99</v>
      </c>
      <c r="C17" s="961" t="s">
        <v>316</v>
      </c>
      <c r="D17" s="959" t="s">
        <v>40</v>
      </c>
      <c r="E17" s="31" t="s">
        <v>6</v>
      </c>
      <c r="G17" s="961" t="s">
        <v>71</v>
      </c>
      <c r="H17" s="961" t="s">
        <v>99</v>
      </c>
      <c r="I17" s="961" t="s">
        <v>316</v>
      </c>
      <c r="J17" s="959" t="s">
        <v>40</v>
      </c>
      <c r="K17" s="31" t="s">
        <v>6</v>
      </c>
    </row>
    <row r="18" spans="1:11" x14ac:dyDescent="0.2">
      <c r="A18" s="35" t="s">
        <v>108</v>
      </c>
      <c r="B18" s="36" t="s">
        <v>73</v>
      </c>
      <c r="C18" s="36">
        <f>2*12</f>
        <v>24</v>
      </c>
      <c r="D18" s="230">
        <f>D6</f>
        <v>29</v>
      </c>
      <c r="E18" s="45">
        <f>ROUND(D18*C18,2)</f>
        <v>696</v>
      </c>
      <c r="G18" s="35" t="s">
        <v>108</v>
      </c>
      <c r="H18" s="36" t="s">
        <v>73</v>
      </c>
      <c r="I18" s="36">
        <f>2*12</f>
        <v>24</v>
      </c>
      <c r="J18" s="230">
        <f>D18</f>
        <v>29</v>
      </c>
      <c r="K18" s="45">
        <f>ROUND(J18*I18,2)</f>
        <v>696</v>
      </c>
    </row>
    <row r="19" spans="1:11" x14ac:dyDescent="0.2">
      <c r="A19" s="35" t="s">
        <v>111</v>
      </c>
      <c r="B19" s="36" t="s">
        <v>106</v>
      </c>
      <c r="C19" s="36">
        <f>2*12/0.6</f>
        <v>40</v>
      </c>
      <c r="D19" s="162">
        <f>D9</f>
        <v>45</v>
      </c>
      <c r="E19" s="45">
        <f>ROUND(D19*C19,2)</f>
        <v>1800</v>
      </c>
      <c r="G19" s="35" t="s">
        <v>111</v>
      </c>
      <c r="H19" s="36" t="s">
        <v>106</v>
      </c>
      <c r="I19" s="36">
        <f>2*12/0.6</f>
        <v>40</v>
      </c>
      <c r="J19" s="230">
        <f>D19</f>
        <v>45</v>
      </c>
      <c r="K19" s="45">
        <f>ROUND(J19*I19,2)</f>
        <v>1800</v>
      </c>
    </row>
    <row r="20" spans="1:11" x14ac:dyDescent="0.2">
      <c r="A20" s="35" t="s">
        <v>314</v>
      </c>
      <c r="B20" s="36" t="s">
        <v>106</v>
      </c>
      <c r="C20" s="36">
        <f>2*12/6</f>
        <v>4</v>
      </c>
      <c r="D20" s="449">
        <f>ROUND(898,2)</f>
        <v>898</v>
      </c>
      <c r="E20" s="45">
        <f>ROUND(D20*C20,2)</f>
        <v>3592</v>
      </c>
      <c r="G20" s="35" t="s">
        <v>314</v>
      </c>
      <c r="H20" s="36" t="s">
        <v>106</v>
      </c>
      <c r="I20" s="36">
        <f>2*12/6</f>
        <v>4</v>
      </c>
      <c r="J20" s="230">
        <f>D20</f>
        <v>898</v>
      </c>
      <c r="K20" s="45">
        <f>ROUND(J20*I20,2)</f>
        <v>3592</v>
      </c>
    </row>
    <row r="21" spans="1:11" x14ac:dyDescent="0.2">
      <c r="A21" s="40" t="s">
        <v>115</v>
      </c>
      <c r="B21" s="20"/>
      <c r="C21" s="47">
        <f>SUM(C18:C20)</f>
        <v>68</v>
      </c>
      <c r="D21" s="47"/>
      <c r="E21" s="48">
        <f>SUM(E18:E20)</f>
        <v>6088</v>
      </c>
      <c r="G21" s="40" t="s">
        <v>115</v>
      </c>
      <c r="H21" s="20"/>
      <c r="I21" s="47">
        <f>SUM(I18:I20)</f>
        <v>68</v>
      </c>
      <c r="J21" s="47"/>
      <c r="K21" s="48">
        <f>SUM(K18:K20)</f>
        <v>6088</v>
      </c>
    </row>
    <row r="22" spans="1:11" x14ac:dyDescent="0.2">
      <c r="A22" s="487" t="s">
        <v>177</v>
      </c>
      <c r="B22" s="487"/>
      <c r="C22" s="490">
        <f>ROUND(C21/L3,3)</f>
        <v>2.72</v>
      </c>
      <c r="D22" s="487"/>
      <c r="E22" s="97">
        <f>ROUND(E21/L3,2)</f>
        <v>243.52</v>
      </c>
      <c r="G22" s="487" t="s">
        <v>177</v>
      </c>
      <c r="H22" s="487"/>
      <c r="I22" s="490">
        <f>ROUND(I21/M3,3)</f>
        <v>2.5190000000000001</v>
      </c>
      <c r="J22" s="487"/>
      <c r="K22" s="97">
        <f>ROUND(K21/M3,2)</f>
        <v>225.48</v>
      </c>
    </row>
    <row r="23" spans="1:11" x14ac:dyDescent="0.2">
      <c r="C23" s="491">
        <f>C14+C22</f>
        <v>9.92</v>
      </c>
      <c r="E23" s="96">
        <f>E14+E22</f>
        <v>614.56000000000006</v>
      </c>
      <c r="I23" s="491">
        <f>I14+I22</f>
        <v>9.1859999999999999</v>
      </c>
      <c r="K23" s="96">
        <f>K14+K22</f>
        <v>569.04</v>
      </c>
    </row>
    <row r="25" spans="1:11" ht="35.450000000000003" customHeight="1" x14ac:dyDescent="0.2">
      <c r="A25" s="1175" t="s">
        <v>132</v>
      </c>
      <c r="B25" s="1195" t="str">
        <f>Хозрасходы!B15</f>
        <v>Численность</v>
      </c>
      <c r="C25" s="1195"/>
      <c r="D25" s="1196" t="str">
        <f>Хозрасходы!D15</f>
        <v>Сумма в год</v>
      </c>
      <c r="E25" s="1198" t="s">
        <v>396</v>
      </c>
      <c r="F25" s="1199"/>
    </row>
    <row r="26" spans="1:11" ht="33" customHeight="1" x14ac:dyDescent="0.2">
      <c r="A26" s="1175"/>
      <c r="B26" s="960" t="str">
        <f>Хозрасходы!B16</f>
        <v>от 1 года до 3 лет</v>
      </c>
      <c r="C26" s="960" t="str">
        <f>Хозрасходы!C16</f>
        <v>от 3 лет до 8 лет</v>
      </c>
      <c r="D26" s="1197"/>
      <c r="E26" s="371" t="s">
        <v>261</v>
      </c>
      <c r="F26" s="371" t="s">
        <v>262</v>
      </c>
    </row>
    <row r="27" spans="1:11" x14ac:dyDescent="0.2">
      <c r="A27" s="46" t="str">
        <f>Хозрасходы!A17</f>
        <v>МАДОУ ЦРР-детский сад № 2</v>
      </c>
      <c r="B27" s="67">
        <f>Численность!AF6+Численность!AH6+Численность!AK6+Численность!AM6+Численность!AP6</f>
        <v>64</v>
      </c>
      <c r="C27" s="67">
        <f>Численность!AG6+Численность!AI6+Численность!AL6+Численность!AN6+Численность!AO6+Численность!AQ6+Численность!AJ6</f>
        <v>273</v>
      </c>
      <c r="D27" s="369">
        <f>(B27*$E$23)+(C27*$K$23)</f>
        <v>194679.75999999998</v>
      </c>
      <c r="E27" s="91">
        <f>B27*$E$22</f>
        <v>15585.28</v>
      </c>
      <c r="F27" s="91">
        <f>C27*$K$22</f>
        <v>61556.039999999994</v>
      </c>
      <c r="G27" s="44">
        <f>E27+F27</f>
        <v>77141.319999999992</v>
      </c>
    </row>
    <row r="28" spans="1:11" x14ac:dyDescent="0.2">
      <c r="A28" s="46" t="str">
        <f>Хозрасходы!A18</f>
        <v>МАДОУ ЦРР-детский сад № 11</v>
      </c>
      <c r="B28" s="67">
        <f>Численность!AF7+Численность!AH7+Численность!AK7+Численность!AM7+Численность!AP7</f>
        <v>61</v>
      </c>
      <c r="C28" s="67">
        <f>Численность!AG7+Численность!AI7+Численность!AL7+Численность!AN7+Численность!AO7+Численность!AQ7+Численность!AJ7</f>
        <v>309</v>
      </c>
      <c r="D28" s="369">
        <f t="shared" ref="D28:D50" si="3">(B28*$E$23)+(C28*$K$23)</f>
        <v>213321.52</v>
      </c>
      <c r="E28" s="91">
        <f t="shared" ref="E28:E34" si="4">B28*$E$22</f>
        <v>14854.720000000001</v>
      </c>
      <c r="F28" s="91">
        <f t="shared" ref="F28:F34" si="5">C28*$K$22</f>
        <v>69673.319999999992</v>
      </c>
      <c r="G28" s="44">
        <f t="shared" ref="G28:G50" si="6">E28+F28</f>
        <v>84528.04</v>
      </c>
    </row>
    <row r="29" spans="1:11" x14ac:dyDescent="0.2">
      <c r="A29" s="46" t="str">
        <f>Хозрасходы!A19</f>
        <v>МАДОУ ЦРР-детский сад № 13</v>
      </c>
      <c r="B29" s="67">
        <f>Численность!AF8+Численность!AH8+Численность!AK8+Численность!AM8+Численность!AP8</f>
        <v>125</v>
      </c>
      <c r="C29" s="67">
        <f>Численность!AG8+Численность!AI8+Численность!AL8+Численность!AN8+Численность!AO8+Численность!AQ8+Численность!AJ8</f>
        <v>379</v>
      </c>
      <c r="D29" s="369">
        <f t="shared" si="3"/>
        <v>292486.15999999997</v>
      </c>
      <c r="E29" s="91">
        <f t="shared" si="4"/>
        <v>30440</v>
      </c>
      <c r="F29" s="91">
        <f t="shared" si="5"/>
        <v>85456.92</v>
      </c>
      <c r="G29" s="44">
        <f t="shared" si="6"/>
        <v>115896.92</v>
      </c>
    </row>
    <row r="30" spans="1:11" ht="28.15" customHeight="1" x14ac:dyDescent="0.2">
      <c r="A30" s="46" t="str">
        <f>Хозрасходы!A20</f>
        <v>МАОУ СОШ № 1 структурное подразделение</v>
      </c>
      <c r="B30" s="67">
        <f>Численность!AF9+Численность!AH9+Численность!AK9+Численность!AM9+Численность!AP9</f>
        <v>41</v>
      </c>
      <c r="C30" s="67">
        <f>Численность!AG9+Численность!AI9+Численность!AL9+Численность!AN9+Численность!AO9+Численность!AQ9+Численность!AJ9</f>
        <v>224</v>
      </c>
      <c r="D30" s="369">
        <f t="shared" si="3"/>
        <v>152661.91999999998</v>
      </c>
      <c r="E30" s="91">
        <f t="shared" si="4"/>
        <v>9984.32</v>
      </c>
      <c r="F30" s="91">
        <f t="shared" si="5"/>
        <v>50507.519999999997</v>
      </c>
      <c r="G30" s="44">
        <f t="shared" si="6"/>
        <v>60491.839999999997</v>
      </c>
    </row>
    <row r="31" spans="1:11" ht="28.15" customHeight="1" x14ac:dyDescent="0.2">
      <c r="A31" s="46" t="str">
        <f>Хозрасходы!A21</f>
        <v>МАОУ СОШ № 2 им.М.И.Грибушина структурное подразделение</v>
      </c>
      <c r="B31" s="67">
        <f>Численность!AF10+Численность!AH10+Численность!AK10+Численность!AM10+Численность!AP10</f>
        <v>33</v>
      </c>
      <c r="C31" s="67">
        <f>Численность!AG10+Численность!AI10+Численность!AL10+Численность!AN10+Численность!AO10+Численность!AQ10+Численность!AJ10</f>
        <v>156</v>
      </c>
      <c r="D31" s="369">
        <f t="shared" si="3"/>
        <v>109050.72</v>
      </c>
      <c r="E31" s="91">
        <f t="shared" si="4"/>
        <v>8036.1600000000008</v>
      </c>
      <c r="F31" s="91">
        <f t="shared" si="5"/>
        <v>35174.879999999997</v>
      </c>
      <c r="G31" s="44">
        <f t="shared" si="6"/>
        <v>43211.040000000001</v>
      </c>
    </row>
    <row r="32" spans="1:11" ht="28.15" customHeight="1" x14ac:dyDescent="0.2">
      <c r="A32" s="46" t="str">
        <f>Хозрасходы!A22</f>
        <v>МАОУ СОШ № 10 структурное подразделение</v>
      </c>
      <c r="B32" s="67">
        <f>Численность!AF11+Численность!AH11+Численность!AK11+Численность!AM11+Численность!AP11</f>
        <v>16</v>
      </c>
      <c r="C32" s="67">
        <f>Численность!AG11+Численность!AI11+Численность!AL11+Численность!AN11+Численность!AO11+Численность!AQ11+Численность!AJ11</f>
        <v>140</v>
      </c>
      <c r="D32" s="369">
        <f t="shared" si="3"/>
        <v>89498.559999999998</v>
      </c>
      <c r="E32" s="91">
        <f t="shared" si="4"/>
        <v>3896.32</v>
      </c>
      <c r="F32" s="91">
        <f t="shared" si="5"/>
        <v>31567.199999999997</v>
      </c>
      <c r="G32" s="44">
        <f t="shared" si="6"/>
        <v>35463.519999999997</v>
      </c>
    </row>
    <row r="33" spans="1:7" ht="29.45" customHeight="1" x14ac:dyDescent="0.2">
      <c r="A33" s="46" t="str">
        <f>Хозрасходы!A23</f>
        <v>МАОУ СОШ № 13 структурное подразделение</v>
      </c>
      <c r="B33" s="67">
        <f>Численность!AF12+Численность!AH12+Численность!AK12+Численность!AM12+Численность!AP12</f>
        <v>22</v>
      </c>
      <c r="C33" s="67">
        <f>Численность!AG12+Численность!AI12+Численность!AL12+Численность!AN12+Численность!AO12+Численность!AQ12+Численность!AJ12</f>
        <v>86</v>
      </c>
      <c r="D33" s="369">
        <f t="shared" si="3"/>
        <v>62457.759999999995</v>
      </c>
      <c r="E33" s="91">
        <f t="shared" si="4"/>
        <v>5357.4400000000005</v>
      </c>
      <c r="F33" s="91">
        <f t="shared" si="5"/>
        <v>19391.28</v>
      </c>
      <c r="G33" s="44">
        <f t="shared" si="6"/>
        <v>24748.720000000001</v>
      </c>
    </row>
    <row r="34" spans="1:7" ht="25.5" x14ac:dyDescent="0.2">
      <c r="A34" s="46" t="str">
        <f>Хозрасходы!A24</f>
        <v>Гимназия № 16 структурное подразделение</v>
      </c>
      <c r="B34" s="67">
        <f>Численность!AF13+Численность!AH13+Численность!AK13+Численность!AM13+Численность!AP13</f>
        <v>32</v>
      </c>
      <c r="C34" s="67">
        <f>Численность!AG13+Численность!AI13+Численность!AL13+Численность!AN13+Численность!AO13+Численность!AQ13+Численность!AJ13</f>
        <v>200</v>
      </c>
      <c r="D34" s="369">
        <f t="shared" si="3"/>
        <v>133473.92000000001</v>
      </c>
      <c r="E34" s="91">
        <f t="shared" si="4"/>
        <v>7792.64</v>
      </c>
      <c r="F34" s="91">
        <f t="shared" si="5"/>
        <v>45096</v>
      </c>
      <c r="G34" s="44">
        <f t="shared" si="6"/>
        <v>52888.639999999999</v>
      </c>
    </row>
    <row r="35" spans="1:7" ht="29.45" customHeight="1" x14ac:dyDescent="0.2">
      <c r="A35" s="46" t="str">
        <f>Хозрасходы!A25</f>
        <v>МАОУ ООШ № 17 с кадетскими классами структурное подразделение</v>
      </c>
      <c r="B35" s="67">
        <f>Численность!AF14+Численность!AH14+Численность!AK14+Численность!AM14+Численность!AP14</f>
        <v>13</v>
      </c>
      <c r="C35" s="67">
        <f>Численность!AG14+Численность!AI14+Численность!AL14+Численность!AN14+Численность!AO14+Численность!AQ14+Численность!AJ14</f>
        <v>56</v>
      </c>
      <c r="D35" s="823">
        <f t="shared" si="3"/>
        <v>39855.519999999997</v>
      </c>
      <c r="E35" s="91">
        <f>B35*$E$22</f>
        <v>3165.76</v>
      </c>
      <c r="F35" s="91">
        <f>C35*$K$22</f>
        <v>12626.88</v>
      </c>
      <c r="G35" s="44">
        <f t="shared" si="6"/>
        <v>15792.64</v>
      </c>
    </row>
    <row r="36" spans="1:7" ht="29.45" customHeight="1" x14ac:dyDescent="0.2">
      <c r="A36" s="818" t="s">
        <v>670</v>
      </c>
      <c r="B36" s="67">
        <f>Численность!AF15+Численность!AH15+Численность!AK15+Численность!AM15+Численность!AP15</f>
        <v>5</v>
      </c>
      <c r="C36" s="67">
        <f>Численность!AG15+Численность!AI15+Численность!AL15+Численность!AN15+Численность!AO15+Численность!AQ15+Численность!AJ15</f>
        <v>34</v>
      </c>
      <c r="D36" s="823">
        <f t="shared" si="3"/>
        <v>22420.16</v>
      </c>
      <c r="E36" s="91">
        <f t="shared" ref="E36:E50" si="7">B36*$E$22</f>
        <v>1217.6000000000001</v>
      </c>
      <c r="F36" s="91">
        <f t="shared" ref="F36:F50" si="8">C36*$K$22</f>
        <v>7666.32</v>
      </c>
      <c r="G36" s="44">
        <f t="shared" si="6"/>
        <v>8883.92</v>
      </c>
    </row>
    <row r="37" spans="1:7" ht="29.45" customHeight="1" x14ac:dyDescent="0.2">
      <c r="A37" s="818" t="s">
        <v>671</v>
      </c>
      <c r="B37" s="67">
        <f>Численность!AF16+Численность!AH16+Численность!AK16+Численность!AM16+Численность!AP16</f>
        <v>8</v>
      </c>
      <c r="C37" s="67">
        <f>Численность!AG16+Численность!AI16+Численность!AL16+Численность!AN16+Численность!AO16+Численность!AQ16+Численность!AJ16</f>
        <v>26</v>
      </c>
      <c r="D37" s="823">
        <f t="shared" si="3"/>
        <v>19711.52</v>
      </c>
      <c r="E37" s="91">
        <f t="shared" si="7"/>
        <v>1948.16</v>
      </c>
      <c r="F37" s="91">
        <f t="shared" si="8"/>
        <v>5862.48</v>
      </c>
      <c r="G37" s="44">
        <f t="shared" si="6"/>
        <v>7810.6399999999994</v>
      </c>
    </row>
    <row r="38" spans="1:7" ht="29.45" customHeight="1" x14ac:dyDescent="0.2">
      <c r="A38" s="818" t="s">
        <v>672</v>
      </c>
      <c r="B38" s="67">
        <f>Численность!AF17+Численность!AH17+Численность!AK17+Численность!AM17+Численность!AP17</f>
        <v>17</v>
      </c>
      <c r="C38" s="67">
        <f>Численность!AG17+Численность!AI17+Численность!AL17+Численность!AN17+Численность!AO17+Численность!AQ17+Численность!AJ17</f>
        <v>91</v>
      </c>
      <c r="D38" s="823">
        <f t="shared" si="3"/>
        <v>62230.16</v>
      </c>
      <c r="E38" s="91">
        <f t="shared" si="7"/>
        <v>4139.84</v>
      </c>
      <c r="F38" s="91">
        <f t="shared" si="8"/>
        <v>20518.68</v>
      </c>
      <c r="G38" s="44">
        <f t="shared" si="6"/>
        <v>24658.52</v>
      </c>
    </row>
    <row r="39" spans="1:7" ht="29.45" customHeight="1" x14ac:dyDescent="0.2">
      <c r="A39" s="818" t="s">
        <v>673</v>
      </c>
      <c r="B39" s="67">
        <f>Численность!AF18+Численность!AH18+Численность!AK18+Численность!AM18+Численность!AP18</f>
        <v>21</v>
      </c>
      <c r="C39" s="67">
        <f>Численность!AG18+Численность!AI18+Численность!AL18+Численность!AN18+Численность!AO18+Численность!AQ18+Численность!AJ18</f>
        <v>85</v>
      </c>
      <c r="D39" s="823">
        <f t="shared" si="3"/>
        <v>61274.159999999996</v>
      </c>
      <c r="E39" s="91">
        <f t="shared" si="7"/>
        <v>5113.92</v>
      </c>
      <c r="F39" s="91">
        <f t="shared" si="8"/>
        <v>19165.8</v>
      </c>
      <c r="G39" s="44">
        <f t="shared" si="6"/>
        <v>24279.72</v>
      </c>
    </row>
    <row r="40" spans="1:7" ht="29.45" customHeight="1" x14ac:dyDescent="0.2">
      <c r="A40" s="818" t="s">
        <v>674</v>
      </c>
      <c r="B40" s="67">
        <f>Численность!AF19+Численность!AH19+Численность!AK19+Численность!AM19+Численность!AP19</f>
        <v>4</v>
      </c>
      <c r="C40" s="67">
        <f>Численность!AG19+Численность!AI19+Численность!AL19+Численность!AN19+Численность!AO19+Численность!AQ19+Численность!AJ19</f>
        <v>36</v>
      </c>
      <c r="D40" s="823">
        <f t="shared" si="3"/>
        <v>22943.68</v>
      </c>
      <c r="E40" s="91">
        <f t="shared" si="7"/>
        <v>974.08</v>
      </c>
      <c r="F40" s="91">
        <f t="shared" si="8"/>
        <v>8117.28</v>
      </c>
      <c r="G40" s="44">
        <f t="shared" si="6"/>
        <v>9091.36</v>
      </c>
    </row>
    <row r="41" spans="1:7" ht="29.45" customHeight="1" x14ac:dyDescent="0.2">
      <c r="A41" s="818" t="s">
        <v>675</v>
      </c>
      <c r="B41" s="67">
        <f>Численность!AF20+Численность!AH20+Численность!AK20+Численность!AM20+Численность!AP20</f>
        <v>11</v>
      </c>
      <c r="C41" s="67">
        <f>Численность!AG20+Численность!AI20+Численность!AL20+Численность!AN20+Численность!AO20+Численность!AQ20+Численность!AJ20</f>
        <v>58</v>
      </c>
      <c r="D41" s="823">
        <f t="shared" si="3"/>
        <v>39764.480000000003</v>
      </c>
      <c r="E41" s="91">
        <f t="shared" si="7"/>
        <v>2678.7200000000003</v>
      </c>
      <c r="F41" s="91">
        <f t="shared" si="8"/>
        <v>13077.84</v>
      </c>
      <c r="G41" s="44">
        <f t="shared" si="6"/>
        <v>15756.560000000001</v>
      </c>
    </row>
    <row r="42" spans="1:7" ht="29.45" customHeight="1" x14ac:dyDescent="0.2">
      <c r="A42" s="818" t="s">
        <v>681</v>
      </c>
      <c r="B42" s="67">
        <f>Численность!AF21+Численность!AH21+Численность!AK21+Численность!AM21+Численность!AP21</f>
        <v>8</v>
      </c>
      <c r="C42" s="67">
        <f>Численность!AG21+Численность!AI21+Численность!AL21+Численность!AN21+Численность!AO21+Численность!AQ21+Численность!AJ21</f>
        <v>44</v>
      </c>
      <c r="D42" s="823">
        <f t="shared" si="3"/>
        <v>29954.239999999998</v>
      </c>
      <c r="E42" s="91">
        <f t="shared" si="7"/>
        <v>1948.16</v>
      </c>
      <c r="F42" s="91">
        <f t="shared" si="8"/>
        <v>9921.119999999999</v>
      </c>
      <c r="G42" s="44"/>
    </row>
    <row r="43" spans="1:7" ht="29.45" customHeight="1" x14ac:dyDescent="0.2">
      <c r="A43" s="818" t="s">
        <v>682</v>
      </c>
      <c r="B43" s="67">
        <f>Численность!AF22+Численность!AH22+Численность!AK22+Численность!AM22+Численность!AP22</f>
        <v>10</v>
      </c>
      <c r="C43" s="67">
        <f>Численность!AG22+Численность!AI22+Численность!AL22+Численность!AN22+Численность!AO22+Численность!AQ22+Численность!AJ22</f>
        <v>45</v>
      </c>
      <c r="D43" s="823">
        <f t="shared" si="3"/>
        <v>31752.400000000001</v>
      </c>
      <c r="E43" s="91">
        <f t="shared" si="7"/>
        <v>2435.2000000000003</v>
      </c>
      <c r="F43" s="91">
        <f t="shared" si="8"/>
        <v>10146.6</v>
      </c>
      <c r="G43" s="44"/>
    </row>
    <row r="44" spans="1:7" ht="29.45" customHeight="1" x14ac:dyDescent="0.2">
      <c r="A44" s="818" t="s">
        <v>676</v>
      </c>
      <c r="B44" s="67">
        <f>Численность!AF23+Численность!AH23+Численность!AK23+Численность!AM23+Численность!AP23</f>
        <v>44</v>
      </c>
      <c r="C44" s="67">
        <f>Численность!AG23+Численность!AI23+Численность!AL23+Численность!AN23+Численность!AO23+Численность!AQ23+Численность!AJ23</f>
        <v>176</v>
      </c>
      <c r="D44" s="823">
        <f t="shared" si="3"/>
        <v>127191.67999999999</v>
      </c>
      <c r="E44" s="91">
        <f t="shared" si="7"/>
        <v>10714.880000000001</v>
      </c>
      <c r="F44" s="91">
        <f t="shared" si="8"/>
        <v>39684.479999999996</v>
      </c>
      <c r="G44" s="44">
        <f t="shared" si="6"/>
        <v>50399.360000000001</v>
      </c>
    </row>
    <row r="45" spans="1:7" ht="29.45" customHeight="1" x14ac:dyDescent="0.2">
      <c r="A45" s="818" t="s">
        <v>677</v>
      </c>
      <c r="B45" s="67">
        <f>Численность!AF24+Численность!AH24+Численность!AK24+Численность!AM24+Численность!AP24</f>
        <v>6</v>
      </c>
      <c r="C45" s="67">
        <f>Численность!AG24+Численность!AI24+Численность!AL24+Численность!AN24+Численность!AO24+Численность!AQ24+Численность!AJ24</f>
        <v>42</v>
      </c>
      <c r="D45" s="823">
        <f t="shared" si="3"/>
        <v>27587.040000000001</v>
      </c>
      <c r="E45" s="91">
        <f t="shared" si="7"/>
        <v>1461.1200000000001</v>
      </c>
      <c r="F45" s="91">
        <f t="shared" si="8"/>
        <v>9470.16</v>
      </c>
      <c r="G45" s="44">
        <f t="shared" si="6"/>
        <v>10931.28</v>
      </c>
    </row>
    <row r="46" spans="1:7" ht="29.45" customHeight="1" x14ac:dyDescent="0.2">
      <c r="A46" s="818" t="s">
        <v>678</v>
      </c>
      <c r="B46" s="67">
        <f>Численность!AF25+Численность!AH25+Численность!AK25+Численность!AM25+Численность!AP25</f>
        <v>6</v>
      </c>
      <c r="C46" s="67">
        <f>Численность!AG25+Численность!AI25+Численность!AL25+Численность!AN25+Численность!AO25+Численность!AQ25+Численность!AJ25</f>
        <v>58</v>
      </c>
      <c r="D46" s="823">
        <f t="shared" si="3"/>
        <v>36691.68</v>
      </c>
      <c r="E46" s="91">
        <f t="shared" si="7"/>
        <v>1461.1200000000001</v>
      </c>
      <c r="F46" s="91">
        <f t="shared" si="8"/>
        <v>13077.84</v>
      </c>
      <c r="G46" s="44">
        <f t="shared" si="6"/>
        <v>14538.960000000001</v>
      </c>
    </row>
    <row r="47" spans="1:7" ht="29.45" customHeight="1" x14ac:dyDescent="0.2">
      <c r="A47" s="818" t="s">
        <v>683</v>
      </c>
      <c r="B47" s="67">
        <f>Численность!AF26+Численность!AH26+Численность!AK26+Численность!AM26+Численность!AP26</f>
        <v>13</v>
      </c>
      <c r="C47" s="67">
        <f>Численность!AG26+Численность!AI26+Численность!AL26+Численность!AN26+Численность!AO26+Численность!AQ26+Численность!AJ26</f>
        <v>22</v>
      </c>
      <c r="D47" s="823">
        <f t="shared" si="3"/>
        <v>20508.16</v>
      </c>
      <c r="E47" s="91">
        <f t="shared" si="7"/>
        <v>3165.76</v>
      </c>
      <c r="F47" s="91">
        <f t="shared" si="8"/>
        <v>4960.5599999999995</v>
      </c>
      <c r="G47" s="44"/>
    </row>
    <row r="48" spans="1:7" ht="29.45" customHeight="1" x14ac:dyDescent="0.2">
      <c r="A48" s="818" t="s">
        <v>679</v>
      </c>
      <c r="B48" s="67">
        <f>Численность!AF27+Численность!AH27+Численность!AK27+Численность!AM27+Численность!AP27</f>
        <v>8</v>
      </c>
      <c r="C48" s="67">
        <f>Численность!AG27+Численность!AI27+Численность!AL27+Численность!AN27+Численность!AO27+Численность!AQ27+Численность!AJ27</f>
        <v>33</v>
      </c>
      <c r="D48" s="823">
        <f t="shared" si="3"/>
        <v>23694.799999999999</v>
      </c>
      <c r="E48" s="91">
        <f t="shared" si="7"/>
        <v>1948.16</v>
      </c>
      <c r="F48" s="91">
        <f t="shared" si="8"/>
        <v>7440.8399999999992</v>
      </c>
      <c r="G48" s="44">
        <f t="shared" si="6"/>
        <v>9389</v>
      </c>
    </row>
    <row r="49" spans="1:7" ht="29.45" customHeight="1" x14ac:dyDescent="0.2">
      <c r="A49" s="818" t="s">
        <v>684</v>
      </c>
      <c r="B49" s="67">
        <f>Численность!AF28+Численность!AH28+Численность!AK28+Численность!AM28+Численность!AP28</f>
        <v>0</v>
      </c>
      <c r="C49" s="67">
        <f>Численность!AG28+Численность!AI28+Численность!AL28+Численность!AN28+Численность!AO28+Численность!AQ28+Численность!AJ28</f>
        <v>70</v>
      </c>
      <c r="D49" s="823">
        <f t="shared" si="3"/>
        <v>39832.799999999996</v>
      </c>
      <c r="E49" s="91">
        <f t="shared" si="7"/>
        <v>0</v>
      </c>
      <c r="F49" s="91">
        <f t="shared" si="8"/>
        <v>15783.599999999999</v>
      </c>
      <c r="G49" s="44"/>
    </row>
    <row r="50" spans="1:7" ht="29.45" customHeight="1" x14ac:dyDescent="0.2">
      <c r="A50" s="818" t="s">
        <v>680</v>
      </c>
      <c r="B50" s="67">
        <f>Численность!AF29+Численность!AH29+Численность!AK29+Численность!AM29+Численность!AP29</f>
        <v>15</v>
      </c>
      <c r="C50" s="67">
        <f>Численность!AG29+Численность!AI29+Численность!AL29+Численность!AN29+Численность!AO29+Численность!AQ29+Численность!AJ29</f>
        <v>50</v>
      </c>
      <c r="D50" s="823">
        <f t="shared" si="3"/>
        <v>37670.400000000001</v>
      </c>
      <c r="E50" s="91">
        <f t="shared" si="7"/>
        <v>3652.8</v>
      </c>
      <c r="F50" s="91">
        <f t="shared" si="8"/>
        <v>11274</v>
      </c>
      <c r="G50" s="44">
        <f t="shared" si="6"/>
        <v>14926.8</v>
      </c>
    </row>
    <row r="51" spans="1:7" x14ac:dyDescent="0.2">
      <c r="A51" s="819" t="s">
        <v>685</v>
      </c>
      <c r="B51" s="366">
        <f t="shared" ref="B51:G51" si="9">SUM(B27:B50)</f>
        <v>583</v>
      </c>
      <c r="C51" s="366">
        <f t="shared" si="9"/>
        <v>2693</v>
      </c>
      <c r="D51" s="366">
        <f t="shared" si="9"/>
        <v>1890713.1999999993</v>
      </c>
      <c r="E51" s="366">
        <f t="shared" si="9"/>
        <v>141972.16000000003</v>
      </c>
      <c r="F51" s="366">
        <f t="shared" si="9"/>
        <v>607217.64</v>
      </c>
      <c r="G51" s="827">
        <f t="shared" si="9"/>
        <v>700828.8</v>
      </c>
    </row>
    <row r="55" spans="1:7" x14ac:dyDescent="0.2">
      <c r="A55" s="14" t="s">
        <v>432</v>
      </c>
    </row>
  </sheetData>
  <mergeCells count="6">
    <mergeCell ref="A2:E3"/>
    <mergeCell ref="G2:K3"/>
    <mergeCell ref="A25:A26"/>
    <mergeCell ref="B25:C25"/>
    <mergeCell ref="D25:D26"/>
    <mergeCell ref="E25:F25"/>
  </mergeCells>
  <pageMargins left="0.74803149606299213" right="0.74803149606299213" top="0.98425196850393704" bottom="0.98425196850393704" header="0.51181102362204722" footer="0.51181102362204722"/>
  <pageSetup paperSize="9" scale="50" orientation="portrait" r:id="rId1"/>
  <headerFooter alignWithMargins="0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rgb="FF92D050"/>
    <pageSetUpPr fitToPage="1"/>
  </sheetPr>
  <dimension ref="A2:I46"/>
  <sheetViews>
    <sheetView view="pageBreakPreview" zoomScale="80" zoomScaleNormal="110" zoomScaleSheetLayoutView="80" workbookViewId="0">
      <selection sqref="A1:XFD1048576"/>
    </sheetView>
  </sheetViews>
  <sheetFormatPr defaultColWidth="8.85546875" defaultRowHeight="12.75" x14ac:dyDescent="0.2"/>
  <cols>
    <col min="1" max="1" width="37.5703125" style="14" customWidth="1"/>
    <col min="2" max="2" width="7.140625" style="14" customWidth="1"/>
    <col min="3" max="3" width="11" style="14" customWidth="1"/>
    <col min="4" max="4" width="11.7109375" style="14" customWidth="1"/>
    <col min="5" max="6" width="14.7109375" style="14" customWidth="1"/>
    <col min="7" max="256" width="8.85546875" style="14"/>
    <col min="257" max="257" width="18.28515625" style="14" customWidth="1"/>
    <col min="258" max="258" width="7.140625" style="14" customWidth="1"/>
    <col min="259" max="259" width="11" style="14" customWidth="1"/>
    <col min="260" max="261" width="11.7109375" style="14" customWidth="1"/>
    <col min="262" max="262" width="11.28515625" style="14" customWidth="1"/>
    <col min="263" max="512" width="8.85546875" style="14"/>
    <col min="513" max="513" width="18.28515625" style="14" customWidth="1"/>
    <col min="514" max="514" width="7.140625" style="14" customWidth="1"/>
    <col min="515" max="515" width="11" style="14" customWidth="1"/>
    <col min="516" max="517" width="11.7109375" style="14" customWidth="1"/>
    <col min="518" max="518" width="11.28515625" style="14" customWidth="1"/>
    <col min="519" max="768" width="8.85546875" style="14"/>
    <col min="769" max="769" width="18.28515625" style="14" customWidth="1"/>
    <col min="770" max="770" width="7.140625" style="14" customWidth="1"/>
    <col min="771" max="771" width="11" style="14" customWidth="1"/>
    <col min="772" max="773" width="11.7109375" style="14" customWidth="1"/>
    <col min="774" max="774" width="11.28515625" style="14" customWidth="1"/>
    <col min="775" max="1024" width="8.85546875" style="14"/>
    <col min="1025" max="1025" width="18.28515625" style="14" customWidth="1"/>
    <col min="1026" max="1026" width="7.140625" style="14" customWidth="1"/>
    <col min="1027" max="1027" width="11" style="14" customWidth="1"/>
    <col min="1028" max="1029" width="11.7109375" style="14" customWidth="1"/>
    <col min="1030" max="1030" width="11.28515625" style="14" customWidth="1"/>
    <col min="1031" max="1280" width="8.85546875" style="14"/>
    <col min="1281" max="1281" width="18.28515625" style="14" customWidth="1"/>
    <col min="1282" max="1282" width="7.140625" style="14" customWidth="1"/>
    <col min="1283" max="1283" width="11" style="14" customWidth="1"/>
    <col min="1284" max="1285" width="11.7109375" style="14" customWidth="1"/>
    <col min="1286" max="1286" width="11.28515625" style="14" customWidth="1"/>
    <col min="1287" max="1536" width="8.85546875" style="14"/>
    <col min="1537" max="1537" width="18.28515625" style="14" customWidth="1"/>
    <col min="1538" max="1538" width="7.140625" style="14" customWidth="1"/>
    <col min="1539" max="1539" width="11" style="14" customWidth="1"/>
    <col min="1540" max="1541" width="11.7109375" style="14" customWidth="1"/>
    <col min="1542" max="1542" width="11.28515625" style="14" customWidth="1"/>
    <col min="1543" max="1792" width="8.85546875" style="14"/>
    <col min="1793" max="1793" width="18.28515625" style="14" customWidth="1"/>
    <col min="1794" max="1794" width="7.140625" style="14" customWidth="1"/>
    <col min="1795" max="1795" width="11" style="14" customWidth="1"/>
    <col min="1796" max="1797" width="11.7109375" style="14" customWidth="1"/>
    <col min="1798" max="1798" width="11.28515625" style="14" customWidth="1"/>
    <col min="1799" max="2048" width="8.85546875" style="14"/>
    <col min="2049" max="2049" width="18.28515625" style="14" customWidth="1"/>
    <col min="2050" max="2050" width="7.140625" style="14" customWidth="1"/>
    <col min="2051" max="2051" width="11" style="14" customWidth="1"/>
    <col min="2052" max="2053" width="11.7109375" style="14" customWidth="1"/>
    <col min="2054" max="2054" width="11.28515625" style="14" customWidth="1"/>
    <col min="2055" max="2304" width="8.85546875" style="14"/>
    <col min="2305" max="2305" width="18.28515625" style="14" customWidth="1"/>
    <col min="2306" max="2306" width="7.140625" style="14" customWidth="1"/>
    <col min="2307" max="2307" width="11" style="14" customWidth="1"/>
    <col min="2308" max="2309" width="11.7109375" style="14" customWidth="1"/>
    <col min="2310" max="2310" width="11.28515625" style="14" customWidth="1"/>
    <col min="2311" max="2560" width="8.85546875" style="14"/>
    <col min="2561" max="2561" width="18.28515625" style="14" customWidth="1"/>
    <col min="2562" max="2562" width="7.140625" style="14" customWidth="1"/>
    <col min="2563" max="2563" width="11" style="14" customWidth="1"/>
    <col min="2564" max="2565" width="11.7109375" style="14" customWidth="1"/>
    <col min="2566" max="2566" width="11.28515625" style="14" customWidth="1"/>
    <col min="2567" max="2816" width="8.85546875" style="14"/>
    <col min="2817" max="2817" width="18.28515625" style="14" customWidth="1"/>
    <col min="2818" max="2818" width="7.140625" style="14" customWidth="1"/>
    <col min="2819" max="2819" width="11" style="14" customWidth="1"/>
    <col min="2820" max="2821" width="11.7109375" style="14" customWidth="1"/>
    <col min="2822" max="2822" width="11.28515625" style="14" customWidth="1"/>
    <col min="2823" max="3072" width="8.85546875" style="14"/>
    <col min="3073" max="3073" width="18.28515625" style="14" customWidth="1"/>
    <col min="3074" max="3074" width="7.140625" style="14" customWidth="1"/>
    <col min="3075" max="3075" width="11" style="14" customWidth="1"/>
    <col min="3076" max="3077" width="11.7109375" style="14" customWidth="1"/>
    <col min="3078" max="3078" width="11.28515625" style="14" customWidth="1"/>
    <col min="3079" max="3328" width="8.85546875" style="14"/>
    <col min="3329" max="3329" width="18.28515625" style="14" customWidth="1"/>
    <col min="3330" max="3330" width="7.140625" style="14" customWidth="1"/>
    <col min="3331" max="3331" width="11" style="14" customWidth="1"/>
    <col min="3332" max="3333" width="11.7109375" style="14" customWidth="1"/>
    <col min="3334" max="3334" width="11.28515625" style="14" customWidth="1"/>
    <col min="3335" max="3584" width="8.85546875" style="14"/>
    <col min="3585" max="3585" width="18.28515625" style="14" customWidth="1"/>
    <col min="3586" max="3586" width="7.140625" style="14" customWidth="1"/>
    <col min="3587" max="3587" width="11" style="14" customWidth="1"/>
    <col min="3588" max="3589" width="11.7109375" style="14" customWidth="1"/>
    <col min="3590" max="3590" width="11.28515625" style="14" customWidth="1"/>
    <col min="3591" max="3840" width="8.85546875" style="14"/>
    <col min="3841" max="3841" width="18.28515625" style="14" customWidth="1"/>
    <col min="3842" max="3842" width="7.140625" style="14" customWidth="1"/>
    <col min="3843" max="3843" width="11" style="14" customWidth="1"/>
    <col min="3844" max="3845" width="11.7109375" style="14" customWidth="1"/>
    <col min="3846" max="3846" width="11.28515625" style="14" customWidth="1"/>
    <col min="3847" max="4096" width="8.85546875" style="14"/>
    <col min="4097" max="4097" width="18.28515625" style="14" customWidth="1"/>
    <col min="4098" max="4098" width="7.140625" style="14" customWidth="1"/>
    <col min="4099" max="4099" width="11" style="14" customWidth="1"/>
    <col min="4100" max="4101" width="11.7109375" style="14" customWidth="1"/>
    <col min="4102" max="4102" width="11.28515625" style="14" customWidth="1"/>
    <col min="4103" max="4352" width="8.85546875" style="14"/>
    <col min="4353" max="4353" width="18.28515625" style="14" customWidth="1"/>
    <col min="4354" max="4354" width="7.140625" style="14" customWidth="1"/>
    <col min="4355" max="4355" width="11" style="14" customWidth="1"/>
    <col min="4356" max="4357" width="11.7109375" style="14" customWidth="1"/>
    <col min="4358" max="4358" width="11.28515625" style="14" customWidth="1"/>
    <col min="4359" max="4608" width="8.85546875" style="14"/>
    <col min="4609" max="4609" width="18.28515625" style="14" customWidth="1"/>
    <col min="4610" max="4610" width="7.140625" style="14" customWidth="1"/>
    <col min="4611" max="4611" width="11" style="14" customWidth="1"/>
    <col min="4612" max="4613" width="11.7109375" style="14" customWidth="1"/>
    <col min="4614" max="4614" width="11.28515625" style="14" customWidth="1"/>
    <col min="4615" max="4864" width="8.85546875" style="14"/>
    <col min="4865" max="4865" width="18.28515625" style="14" customWidth="1"/>
    <col min="4866" max="4866" width="7.140625" style="14" customWidth="1"/>
    <col min="4867" max="4867" width="11" style="14" customWidth="1"/>
    <col min="4868" max="4869" width="11.7109375" style="14" customWidth="1"/>
    <col min="4870" max="4870" width="11.28515625" style="14" customWidth="1"/>
    <col min="4871" max="5120" width="8.85546875" style="14"/>
    <col min="5121" max="5121" width="18.28515625" style="14" customWidth="1"/>
    <col min="5122" max="5122" width="7.140625" style="14" customWidth="1"/>
    <col min="5123" max="5123" width="11" style="14" customWidth="1"/>
    <col min="5124" max="5125" width="11.7109375" style="14" customWidth="1"/>
    <col min="5126" max="5126" width="11.28515625" style="14" customWidth="1"/>
    <col min="5127" max="5376" width="8.85546875" style="14"/>
    <col min="5377" max="5377" width="18.28515625" style="14" customWidth="1"/>
    <col min="5378" max="5378" width="7.140625" style="14" customWidth="1"/>
    <col min="5379" max="5379" width="11" style="14" customWidth="1"/>
    <col min="5380" max="5381" width="11.7109375" style="14" customWidth="1"/>
    <col min="5382" max="5382" width="11.28515625" style="14" customWidth="1"/>
    <col min="5383" max="5632" width="8.85546875" style="14"/>
    <col min="5633" max="5633" width="18.28515625" style="14" customWidth="1"/>
    <col min="5634" max="5634" width="7.140625" style="14" customWidth="1"/>
    <col min="5635" max="5635" width="11" style="14" customWidth="1"/>
    <col min="5636" max="5637" width="11.7109375" style="14" customWidth="1"/>
    <col min="5638" max="5638" width="11.28515625" style="14" customWidth="1"/>
    <col min="5639" max="5888" width="8.85546875" style="14"/>
    <col min="5889" max="5889" width="18.28515625" style="14" customWidth="1"/>
    <col min="5890" max="5890" width="7.140625" style="14" customWidth="1"/>
    <col min="5891" max="5891" width="11" style="14" customWidth="1"/>
    <col min="5892" max="5893" width="11.7109375" style="14" customWidth="1"/>
    <col min="5894" max="5894" width="11.28515625" style="14" customWidth="1"/>
    <col min="5895" max="6144" width="8.85546875" style="14"/>
    <col min="6145" max="6145" width="18.28515625" style="14" customWidth="1"/>
    <col min="6146" max="6146" width="7.140625" style="14" customWidth="1"/>
    <col min="6147" max="6147" width="11" style="14" customWidth="1"/>
    <col min="6148" max="6149" width="11.7109375" style="14" customWidth="1"/>
    <col min="6150" max="6150" width="11.28515625" style="14" customWidth="1"/>
    <col min="6151" max="6400" width="8.85546875" style="14"/>
    <col min="6401" max="6401" width="18.28515625" style="14" customWidth="1"/>
    <col min="6402" max="6402" width="7.140625" style="14" customWidth="1"/>
    <col min="6403" max="6403" width="11" style="14" customWidth="1"/>
    <col min="6404" max="6405" width="11.7109375" style="14" customWidth="1"/>
    <col min="6406" max="6406" width="11.28515625" style="14" customWidth="1"/>
    <col min="6407" max="6656" width="8.85546875" style="14"/>
    <col min="6657" max="6657" width="18.28515625" style="14" customWidth="1"/>
    <col min="6658" max="6658" width="7.140625" style="14" customWidth="1"/>
    <col min="6659" max="6659" width="11" style="14" customWidth="1"/>
    <col min="6660" max="6661" width="11.7109375" style="14" customWidth="1"/>
    <col min="6662" max="6662" width="11.28515625" style="14" customWidth="1"/>
    <col min="6663" max="6912" width="8.85546875" style="14"/>
    <col min="6913" max="6913" width="18.28515625" style="14" customWidth="1"/>
    <col min="6914" max="6914" width="7.140625" style="14" customWidth="1"/>
    <col min="6915" max="6915" width="11" style="14" customWidth="1"/>
    <col min="6916" max="6917" width="11.7109375" style="14" customWidth="1"/>
    <col min="6918" max="6918" width="11.28515625" style="14" customWidth="1"/>
    <col min="6919" max="7168" width="8.85546875" style="14"/>
    <col min="7169" max="7169" width="18.28515625" style="14" customWidth="1"/>
    <col min="7170" max="7170" width="7.140625" style="14" customWidth="1"/>
    <col min="7171" max="7171" width="11" style="14" customWidth="1"/>
    <col min="7172" max="7173" width="11.7109375" style="14" customWidth="1"/>
    <col min="7174" max="7174" width="11.28515625" style="14" customWidth="1"/>
    <col min="7175" max="7424" width="8.85546875" style="14"/>
    <col min="7425" max="7425" width="18.28515625" style="14" customWidth="1"/>
    <col min="7426" max="7426" width="7.140625" style="14" customWidth="1"/>
    <col min="7427" max="7427" width="11" style="14" customWidth="1"/>
    <col min="7428" max="7429" width="11.7109375" style="14" customWidth="1"/>
    <col min="7430" max="7430" width="11.28515625" style="14" customWidth="1"/>
    <col min="7431" max="7680" width="8.85546875" style="14"/>
    <col min="7681" max="7681" width="18.28515625" style="14" customWidth="1"/>
    <col min="7682" max="7682" width="7.140625" style="14" customWidth="1"/>
    <col min="7683" max="7683" width="11" style="14" customWidth="1"/>
    <col min="7684" max="7685" width="11.7109375" style="14" customWidth="1"/>
    <col min="7686" max="7686" width="11.28515625" style="14" customWidth="1"/>
    <col min="7687" max="7936" width="8.85546875" style="14"/>
    <col min="7937" max="7937" width="18.28515625" style="14" customWidth="1"/>
    <col min="7938" max="7938" width="7.140625" style="14" customWidth="1"/>
    <col min="7939" max="7939" width="11" style="14" customWidth="1"/>
    <col min="7940" max="7941" width="11.7109375" style="14" customWidth="1"/>
    <col min="7942" max="7942" width="11.28515625" style="14" customWidth="1"/>
    <col min="7943" max="8192" width="8.85546875" style="14"/>
    <col min="8193" max="8193" width="18.28515625" style="14" customWidth="1"/>
    <col min="8194" max="8194" width="7.140625" style="14" customWidth="1"/>
    <col min="8195" max="8195" width="11" style="14" customWidth="1"/>
    <col min="8196" max="8197" width="11.7109375" style="14" customWidth="1"/>
    <col min="8198" max="8198" width="11.28515625" style="14" customWidth="1"/>
    <col min="8199" max="8448" width="8.85546875" style="14"/>
    <col min="8449" max="8449" width="18.28515625" style="14" customWidth="1"/>
    <col min="8450" max="8450" width="7.140625" style="14" customWidth="1"/>
    <col min="8451" max="8451" width="11" style="14" customWidth="1"/>
    <col min="8452" max="8453" width="11.7109375" style="14" customWidth="1"/>
    <col min="8454" max="8454" width="11.28515625" style="14" customWidth="1"/>
    <col min="8455" max="8704" width="8.85546875" style="14"/>
    <col min="8705" max="8705" width="18.28515625" style="14" customWidth="1"/>
    <col min="8706" max="8706" width="7.140625" style="14" customWidth="1"/>
    <col min="8707" max="8707" width="11" style="14" customWidth="1"/>
    <col min="8708" max="8709" width="11.7109375" style="14" customWidth="1"/>
    <col min="8710" max="8710" width="11.28515625" style="14" customWidth="1"/>
    <col min="8711" max="8960" width="8.85546875" style="14"/>
    <col min="8961" max="8961" width="18.28515625" style="14" customWidth="1"/>
    <col min="8962" max="8962" width="7.140625" style="14" customWidth="1"/>
    <col min="8963" max="8963" width="11" style="14" customWidth="1"/>
    <col min="8964" max="8965" width="11.7109375" style="14" customWidth="1"/>
    <col min="8966" max="8966" width="11.28515625" style="14" customWidth="1"/>
    <col min="8967" max="9216" width="8.85546875" style="14"/>
    <col min="9217" max="9217" width="18.28515625" style="14" customWidth="1"/>
    <col min="9218" max="9218" width="7.140625" style="14" customWidth="1"/>
    <col min="9219" max="9219" width="11" style="14" customWidth="1"/>
    <col min="9220" max="9221" width="11.7109375" style="14" customWidth="1"/>
    <col min="9222" max="9222" width="11.28515625" style="14" customWidth="1"/>
    <col min="9223" max="9472" width="8.85546875" style="14"/>
    <col min="9473" max="9473" width="18.28515625" style="14" customWidth="1"/>
    <col min="9474" max="9474" width="7.140625" style="14" customWidth="1"/>
    <col min="9475" max="9475" width="11" style="14" customWidth="1"/>
    <col min="9476" max="9477" width="11.7109375" style="14" customWidth="1"/>
    <col min="9478" max="9478" width="11.28515625" style="14" customWidth="1"/>
    <col min="9479" max="9728" width="8.85546875" style="14"/>
    <col min="9729" max="9729" width="18.28515625" style="14" customWidth="1"/>
    <col min="9730" max="9730" width="7.140625" style="14" customWidth="1"/>
    <col min="9731" max="9731" width="11" style="14" customWidth="1"/>
    <col min="9732" max="9733" width="11.7109375" style="14" customWidth="1"/>
    <col min="9734" max="9734" width="11.28515625" style="14" customWidth="1"/>
    <col min="9735" max="9984" width="8.85546875" style="14"/>
    <col min="9985" max="9985" width="18.28515625" style="14" customWidth="1"/>
    <col min="9986" max="9986" width="7.140625" style="14" customWidth="1"/>
    <col min="9987" max="9987" width="11" style="14" customWidth="1"/>
    <col min="9988" max="9989" width="11.7109375" style="14" customWidth="1"/>
    <col min="9990" max="9990" width="11.28515625" style="14" customWidth="1"/>
    <col min="9991" max="10240" width="8.85546875" style="14"/>
    <col min="10241" max="10241" width="18.28515625" style="14" customWidth="1"/>
    <col min="10242" max="10242" width="7.140625" style="14" customWidth="1"/>
    <col min="10243" max="10243" width="11" style="14" customWidth="1"/>
    <col min="10244" max="10245" width="11.7109375" style="14" customWidth="1"/>
    <col min="10246" max="10246" width="11.28515625" style="14" customWidth="1"/>
    <col min="10247" max="10496" width="8.85546875" style="14"/>
    <col min="10497" max="10497" width="18.28515625" style="14" customWidth="1"/>
    <col min="10498" max="10498" width="7.140625" style="14" customWidth="1"/>
    <col min="10499" max="10499" width="11" style="14" customWidth="1"/>
    <col min="10500" max="10501" width="11.7109375" style="14" customWidth="1"/>
    <col min="10502" max="10502" width="11.28515625" style="14" customWidth="1"/>
    <col min="10503" max="10752" width="8.85546875" style="14"/>
    <col min="10753" max="10753" width="18.28515625" style="14" customWidth="1"/>
    <col min="10754" max="10754" width="7.140625" style="14" customWidth="1"/>
    <col min="10755" max="10755" width="11" style="14" customWidth="1"/>
    <col min="10756" max="10757" width="11.7109375" style="14" customWidth="1"/>
    <col min="10758" max="10758" width="11.28515625" style="14" customWidth="1"/>
    <col min="10759" max="11008" width="8.85546875" style="14"/>
    <col min="11009" max="11009" width="18.28515625" style="14" customWidth="1"/>
    <col min="11010" max="11010" width="7.140625" style="14" customWidth="1"/>
    <col min="11011" max="11011" width="11" style="14" customWidth="1"/>
    <col min="11012" max="11013" width="11.7109375" style="14" customWidth="1"/>
    <col min="11014" max="11014" width="11.28515625" style="14" customWidth="1"/>
    <col min="11015" max="11264" width="8.85546875" style="14"/>
    <col min="11265" max="11265" width="18.28515625" style="14" customWidth="1"/>
    <col min="11266" max="11266" width="7.140625" style="14" customWidth="1"/>
    <col min="11267" max="11267" width="11" style="14" customWidth="1"/>
    <col min="11268" max="11269" width="11.7109375" style="14" customWidth="1"/>
    <col min="11270" max="11270" width="11.28515625" style="14" customWidth="1"/>
    <col min="11271" max="11520" width="8.85546875" style="14"/>
    <col min="11521" max="11521" width="18.28515625" style="14" customWidth="1"/>
    <col min="11522" max="11522" width="7.140625" style="14" customWidth="1"/>
    <col min="11523" max="11523" width="11" style="14" customWidth="1"/>
    <col min="11524" max="11525" width="11.7109375" style="14" customWidth="1"/>
    <col min="11526" max="11526" width="11.28515625" style="14" customWidth="1"/>
    <col min="11527" max="11776" width="8.85546875" style="14"/>
    <col min="11777" max="11777" width="18.28515625" style="14" customWidth="1"/>
    <col min="11778" max="11778" width="7.140625" style="14" customWidth="1"/>
    <col min="11779" max="11779" width="11" style="14" customWidth="1"/>
    <col min="11780" max="11781" width="11.7109375" style="14" customWidth="1"/>
    <col min="11782" max="11782" width="11.28515625" style="14" customWidth="1"/>
    <col min="11783" max="12032" width="8.85546875" style="14"/>
    <col min="12033" max="12033" width="18.28515625" style="14" customWidth="1"/>
    <col min="12034" max="12034" width="7.140625" style="14" customWidth="1"/>
    <col min="12035" max="12035" width="11" style="14" customWidth="1"/>
    <col min="12036" max="12037" width="11.7109375" style="14" customWidth="1"/>
    <col min="12038" max="12038" width="11.28515625" style="14" customWidth="1"/>
    <col min="12039" max="12288" width="8.85546875" style="14"/>
    <col min="12289" max="12289" width="18.28515625" style="14" customWidth="1"/>
    <col min="12290" max="12290" width="7.140625" style="14" customWidth="1"/>
    <col min="12291" max="12291" width="11" style="14" customWidth="1"/>
    <col min="12292" max="12293" width="11.7109375" style="14" customWidth="1"/>
    <col min="12294" max="12294" width="11.28515625" style="14" customWidth="1"/>
    <col min="12295" max="12544" width="8.85546875" style="14"/>
    <col min="12545" max="12545" width="18.28515625" style="14" customWidth="1"/>
    <col min="12546" max="12546" width="7.140625" style="14" customWidth="1"/>
    <col min="12547" max="12547" width="11" style="14" customWidth="1"/>
    <col min="12548" max="12549" width="11.7109375" style="14" customWidth="1"/>
    <col min="12550" max="12550" width="11.28515625" style="14" customWidth="1"/>
    <col min="12551" max="12800" width="8.85546875" style="14"/>
    <col min="12801" max="12801" width="18.28515625" style="14" customWidth="1"/>
    <col min="12802" max="12802" width="7.140625" style="14" customWidth="1"/>
    <col min="12803" max="12803" width="11" style="14" customWidth="1"/>
    <col min="12804" max="12805" width="11.7109375" style="14" customWidth="1"/>
    <col min="12806" max="12806" width="11.28515625" style="14" customWidth="1"/>
    <col min="12807" max="13056" width="8.85546875" style="14"/>
    <col min="13057" max="13057" width="18.28515625" style="14" customWidth="1"/>
    <col min="13058" max="13058" width="7.140625" style="14" customWidth="1"/>
    <col min="13059" max="13059" width="11" style="14" customWidth="1"/>
    <col min="13060" max="13061" width="11.7109375" style="14" customWidth="1"/>
    <col min="13062" max="13062" width="11.28515625" style="14" customWidth="1"/>
    <col min="13063" max="13312" width="8.85546875" style="14"/>
    <col min="13313" max="13313" width="18.28515625" style="14" customWidth="1"/>
    <col min="13314" max="13314" width="7.140625" style="14" customWidth="1"/>
    <col min="13315" max="13315" width="11" style="14" customWidth="1"/>
    <col min="13316" max="13317" width="11.7109375" style="14" customWidth="1"/>
    <col min="13318" max="13318" width="11.28515625" style="14" customWidth="1"/>
    <col min="13319" max="13568" width="8.85546875" style="14"/>
    <col min="13569" max="13569" width="18.28515625" style="14" customWidth="1"/>
    <col min="13570" max="13570" width="7.140625" style="14" customWidth="1"/>
    <col min="13571" max="13571" width="11" style="14" customWidth="1"/>
    <col min="13572" max="13573" width="11.7109375" style="14" customWidth="1"/>
    <col min="13574" max="13574" width="11.28515625" style="14" customWidth="1"/>
    <col min="13575" max="13824" width="8.85546875" style="14"/>
    <col min="13825" max="13825" width="18.28515625" style="14" customWidth="1"/>
    <col min="13826" max="13826" width="7.140625" style="14" customWidth="1"/>
    <col min="13827" max="13827" width="11" style="14" customWidth="1"/>
    <col min="13828" max="13829" width="11.7109375" style="14" customWidth="1"/>
    <col min="13830" max="13830" width="11.28515625" style="14" customWidth="1"/>
    <col min="13831" max="14080" width="8.85546875" style="14"/>
    <col min="14081" max="14081" width="18.28515625" style="14" customWidth="1"/>
    <col min="14082" max="14082" width="7.140625" style="14" customWidth="1"/>
    <col min="14083" max="14083" width="11" style="14" customWidth="1"/>
    <col min="14084" max="14085" width="11.7109375" style="14" customWidth="1"/>
    <col min="14086" max="14086" width="11.28515625" style="14" customWidth="1"/>
    <col min="14087" max="14336" width="8.85546875" style="14"/>
    <col min="14337" max="14337" width="18.28515625" style="14" customWidth="1"/>
    <col min="14338" max="14338" width="7.140625" style="14" customWidth="1"/>
    <col min="14339" max="14339" width="11" style="14" customWidth="1"/>
    <col min="14340" max="14341" width="11.7109375" style="14" customWidth="1"/>
    <col min="14342" max="14342" width="11.28515625" style="14" customWidth="1"/>
    <col min="14343" max="14592" width="8.85546875" style="14"/>
    <col min="14593" max="14593" width="18.28515625" style="14" customWidth="1"/>
    <col min="14594" max="14594" width="7.140625" style="14" customWidth="1"/>
    <col min="14595" max="14595" width="11" style="14" customWidth="1"/>
    <col min="14596" max="14597" width="11.7109375" style="14" customWidth="1"/>
    <col min="14598" max="14598" width="11.28515625" style="14" customWidth="1"/>
    <col min="14599" max="14848" width="8.85546875" style="14"/>
    <col min="14849" max="14849" width="18.28515625" style="14" customWidth="1"/>
    <col min="14850" max="14850" width="7.140625" style="14" customWidth="1"/>
    <col min="14851" max="14851" width="11" style="14" customWidth="1"/>
    <col min="14852" max="14853" width="11.7109375" style="14" customWidth="1"/>
    <col min="14854" max="14854" width="11.28515625" style="14" customWidth="1"/>
    <col min="14855" max="15104" width="8.85546875" style="14"/>
    <col min="15105" max="15105" width="18.28515625" style="14" customWidth="1"/>
    <col min="15106" max="15106" width="7.140625" style="14" customWidth="1"/>
    <col min="15107" max="15107" width="11" style="14" customWidth="1"/>
    <col min="15108" max="15109" width="11.7109375" style="14" customWidth="1"/>
    <col min="15110" max="15110" width="11.28515625" style="14" customWidth="1"/>
    <col min="15111" max="15360" width="8.85546875" style="14"/>
    <col min="15361" max="15361" width="18.28515625" style="14" customWidth="1"/>
    <col min="15362" max="15362" width="7.140625" style="14" customWidth="1"/>
    <col min="15363" max="15363" width="11" style="14" customWidth="1"/>
    <col min="15364" max="15365" width="11.7109375" style="14" customWidth="1"/>
    <col min="15366" max="15366" width="11.28515625" style="14" customWidth="1"/>
    <col min="15367" max="15616" width="8.85546875" style="14"/>
    <col min="15617" max="15617" width="18.28515625" style="14" customWidth="1"/>
    <col min="15618" max="15618" width="7.140625" style="14" customWidth="1"/>
    <col min="15619" max="15619" width="11" style="14" customWidth="1"/>
    <col min="15620" max="15621" width="11.7109375" style="14" customWidth="1"/>
    <col min="15622" max="15622" width="11.28515625" style="14" customWidth="1"/>
    <col min="15623" max="15872" width="8.85546875" style="14"/>
    <col min="15873" max="15873" width="18.28515625" style="14" customWidth="1"/>
    <col min="15874" max="15874" width="7.140625" style="14" customWidth="1"/>
    <col min="15875" max="15875" width="11" style="14" customWidth="1"/>
    <col min="15876" max="15877" width="11.7109375" style="14" customWidth="1"/>
    <col min="15878" max="15878" width="11.28515625" style="14" customWidth="1"/>
    <col min="15879" max="16128" width="8.85546875" style="14"/>
    <col min="16129" max="16129" width="18.28515625" style="14" customWidth="1"/>
    <col min="16130" max="16130" width="7.140625" style="14" customWidth="1"/>
    <col min="16131" max="16131" width="11" style="14" customWidth="1"/>
    <col min="16132" max="16133" width="11.7109375" style="14" customWidth="1"/>
    <col min="16134" max="16134" width="11.28515625" style="14" customWidth="1"/>
    <col min="16135" max="16384" width="8.85546875" style="14"/>
  </cols>
  <sheetData>
    <row r="2" spans="1:9" x14ac:dyDescent="0.2">
      <c r="A2" s="1119" t="s">
        <v>186</v>
      </c>
      <c r="B2" s="1119"/>
      <c r="C2" s="1119"/>
      <c r="D2" s="1119"/>
      <c r="E2" s="1119"/>
      <c r="F2" s="1119"/>
      <c r="G2" s="1119"/>
      <c r="H2" s="1119"/>
    </row>
    <row r="3" spans="1:9" x14ac:dyDescent="0.2">
      <c r="A3" s="1118" t="s">
        <v>712</v>
      </c>
      <c r="B3" s="1119"/>
      <c r="C3" s="1119"/>
      <c r="D3" s="1119"/>
      <c r="E3" s="1119"/>
      <c r="F3" s="1119"/>
      <c r="G3" s="1119"/>
      <c r="H3" s="1119"/>
      <c r="I3" s="953"/>
    </row>
    <row r="4" spans="1:9" x14ac:dyDescent="0.2">
      <c r="A4" s="49"/>
      <c r="B4" s="49"/>
      <c r="C4" s="49"/>
      <c r="D4" s="49" t="s">
        <v>749</v>
      </c>
      <c r="E4" s="49"/>
      <c r="F4" s="49"/>
      <c r="G4" s="49"/>
      <c r="H4" s="49"/>
    </row>
    <row r="5" spans="1:9" ht="38.25" x14ac:dyDescent="0.2">
      <c r="A5" s="50" t="s">
        <v>71</v>
      </c>
      <c r="B5" s="50" t="s">
        <v>117</v>
      </c>
      <c r="C5" s="50" t="s">
        <v>172</v>
      </c>
      <c r="D5" s="952" t="s">
        <v>54</v>
      </c>
      <c r="E5" s="50" t="s">
        <v>44</v>
      </c>
      <c r="F5" s="489" t="s">
        <v>361</v>
      </c>
      <c r="G5" s="50" t="s">
        <v>25</v>
      </c>
    </row>
    <row r="6" spans="1:9" x14ac:dyDescent="0.2">
      <c r="A6" s="51" t="s">
        <v>118</v>
      </c>
      <c r="B6" s="17" t="s">
        <v>73</v>
      </c>
      <c r="C6" s="17">
        <v>3</v>
      </c>
      <c r="D6" s="16">
        <v>546</v>
      </c>
      <c r="E6" s="17">
        <v>3</v>
      </c>
      <c r="F6" s="477">
        <f t="shared" ref="F6:F11" si="0">ROUND(C6/E6,3)</f>
        <v>1</v>
      </c>
      <c r="G6" s="52">
        <f t="shared" ref="G6:G11" si="1">ROUND(C6*D6/E6,2)</f>
        <v>546</v>
      </c>
      <c r="H6" s="405"/>
    </row>
    <row r="7" spans="1:9" x14ac:dyDescent="0.2">
      <c r="A7" s="53" t="s">
        <v>119</v>
      </c>
      <c r="B7" s="37" t="s">
        <v>73</v>
      </c>
      <c r="C7" s="54">
        <v>2</v>
      </c>
      <c r="D7" s="16">
        <v>99</v>
      </c>
      <c r="E7" s="54">
        <v>3</v>
      </c>
      <c r="F7" s="477">
        <f t="shared" si="0"/>
        <v>0.66700000000000004</v>
      </c>
      <c r="G7" s="52">
        <f t="shared" si="1"/>
        <v>66</v>
      </c>
      <c r="H7" s="405"/>
    </row>
    <row r="8" spans="1:9" x14ac:dyDescent="0.2">
      <c r="A8" s="53" t="s">
        <v>120</v>
      </c>
      <c r="B8" s="37" t="s">
        <v>73</v>
      </c>
      <c r="C8" s="54">
        <v>1</v>
      </c>
      <c r="D8" s="16">
        <v>678</v>
      </c>
      <c r="E8" s="54">
        <v>5</v>
      </c>
      <c r="F8" s="477">
        <f t="shared" si="0"/>
        <v>0.2</v>
      </c>
      <c r="G8" s="52">
        <f t="shared" si="1"/>
        <v>135.6</v>
      </c>
      <c r="H8" s="405"/>
    </row>
    <row r="9" spans="1:9" x14ac:dyDescent="0.2">
      <c r="A9" s="53" t="s">
        <v>121</v>
      </c>
      <c r="B9" s="37" t="s">
        <v>73</v>
      </c>
      <c r="C9" s="54">
        <v>1</v>
      </c>
      <c r="D9" s="16">
        <v>651</v>
      </c>
      <c r="E9" s="54">
        <v>6</v>
      </c>
      <c r="F9" s="477">
        <f t="shared" si="0"/>
        <v>0.16700000000000001</v>
      </c>
      <c r="G9" s="52">
        <f t="shared" si="1"/>
        <v>108.5</v>
      </c>
      <c r="H9" s="405"/>
    </row>
    <row r="10" spans="1:9" x14ac:dyDescent="0.2">
      <c r="A10" s="55" t="s">
        <v>236</v>
      </c>
      <c r="B10" s="37" t="s">
        <v>73</v>
      </c>
      <c r="C10" s="56">
        <v>2</v>
      </c>
      <c r="D10" s="533">
        <v>289</v>
      </c>
      <c r="E10" s="56">
        <v>5</v>
      </c>
      <c r="F10" s="477">
        <f t="shared" si="0"/>
        <v>0.4</v>
      </c>
      <c r="G10" s="52">
        <f t="shared" si="1"/>
        <v>115.6</v>
      </c>
      <c r="H10" s="405"/>
    </row>
    <row r="11" spans="1:9" x14ac:dyDescent="0.2">
      <c r="A11" s="55" t="s">
        <v>122</v>
      </c>
      <c r="B11" s="37" t="s">
        <v>73</v>
      </c>
      <c r="C11" s="56">
        <v>1</v>
      </c>
      <c r="D11" s="533">
        <v>445</v>
      </c>
      <c r="E11" s="56">
        <v>10</v>
      </c>
      <c r="F11" s="477">
        <f t="shared" si="0"/>
        <v>0.1</v>
      </c>
      <c r="G11" s="52">
        <f t="shared" si="1"/>
        <v>44.5</v>
      </c>
      <c r="H11" s="405"/>
    </row>
    <row r="12" spans="1:9" x14ac:dyDescent="0.2">
      <c r="A12" s="487" t="s">
        <v>176</v>
      </c>
      <c r="B12" s="487"/>
      <c r="C12" s="488">
        <f>SUM(C6:C11)</f>
        <v>10</v>
      </c>
      <c r="D12" s="487"/>
      <c r="E12" s="487"/>
      <c r="F12" s="488">
        <f>SUM(F6:F11)</f>
        <v>2.5339999999999998</v>
      </c>
      <c r="G12" s="93">
        <f>ROUND(SUM(G6:G11),2)</f>
        <v>1016.2</v>
      </c>
    </row>
    <row r="16" spans="1:9" ht="25.5" customHeight="1" x14ac:dyDescent="0.2">
      <c r="A16" s="261" t="s">
        <v>132</v>
      </c>
      <c r="B16" s="1045" t="str">
        <f>Моющие!B26</f>
        <v>от 1 года до 3 лет</v>
      </c>
      <c r="C16" s="1045"/>
      <c r="D16" s="371" t="str">
        <f>Моющие!D25</f>
        <v>Сумма в год</v>
      </c>
    </row>
    <row r="17" spans="1:4" x14ac:dyDescent="0.2">
      <c r="A17" s="46" t="str">
        <f>Моющие!A27</f>
        <v>МАДОУ ЦРР-детский сад № 2</v>
      </c>
      <c r="B17" s="67">
        <f>Моющие!B27</f>
        <v>64</v>
      </c>
      <c r="C17" s="67">
        <f>Моющие!C27</f>
        <v>273</v>
      </c>
      <c r="D17" s="91">
        <f>(B17+C17)*$G$12</f>
        <v>342459.4</v>
      </c>
    </row>
    <row r="18" spans="1:4" x14ac:dyDescent="0.2">
      <c r="A18" s="46" t="str">
        <f>Моющие!A28</f>
        <v>МАДОУ ЦРР-детский сад № 11</v>
      </c>
      <c r="B18" s="67">
        <f>Моющие!B28</f>
        <v>61</v>
      </c>
      <c r="C18" s="67">
        <f>Моющие!C28</f>
        <v>309</v>
      </c>
      <c r="D18" s="91">
        <f t="shared" ref="D18:D25" si="2">(B18+C18)*$G$12</f>
        <v>375994</v>
      </c>
    </row>
    <row r="19" spans="1:4" x14ac:dyDescent="0.2">
      <c r="A19" s="46" t="str">
        <f>Моющие!A29</f>
        <v>МАДОУ ЦРР-детский сад № 13</v>
      </c>
      <c r="B19" s="67">
        <f>Моющие!B29</f>
        <v>125</v>
      </c>
      <c r="C19" s="67">
        <f>Моющие!C29</f>
        <v>379</v>
      </c>
      <c r="D19" s="91">
        <f t="shared" si="2"/>
        <v>512164.80000000005</v>
      </c>
    </row>
    <row r="20" spans="1:4" ht="25.5" x14ac:dyDescent="0.2">
      <c r="A20" s="46" t="str">
        <f>Моющие!A30</f>
        <v>МАОУ СОШ № 1 структурное подразделение</v>
      </c>
      <c r="B20" s="67">
        <f>Моющие!B30</f>
        <v>41</v>
      </c>
      <c r="C20" s="67">
        <f>Моющие!C30</f>
        <v>224</v>
      </c>
      <c r="D20" s="91">
        <f t="shared" si="2"/>
        <v>269293</v>
      </c>
    </row>
    <row r="21" spans="1:4" ht="25.5" x14ac:dyDescent="0.2">
      <c r="A21" s="46" t="str">
        <f>Моющие!A31</f>
        <v>МАОУ СОШ № 2 им.М.И.Грибушина структурное подразделение</v>
      </c>
      <c r="B21" s="67">
        <f>Моющие!B31</f>
        <v>33</v>
      </c>
      <c r="C21" s="67">
        <f>Моющие!C31</f>
        <v>156</v>
      </c>
      <c r="D21" s="91">
        <f t="shared" si="2"/>
        <v>192061.80000000002</v>
      </c>
    </row>
    <row r="22" spans="1:4" ht="25.5" x14ac:dyDescent="0.2">
      <c r="A22" s="46" t="str">
        <f>Моющие!A32</f>
        <v>МАОУ СОШ № 10 структурное подразделение</v>
      </c>
      <c r="B22" s="67">
        <f>Моющие!B32</f>
        <v>16</v>
      </c>
      <c r="C22" s="67">
        <f>Моющие!C32</f>
        <v>140</v>
      </c>
      <c r="D22" s="91">
        <f t="shared" si="2"/>
        <v>158527.20000000001</v>
      </c>
    </row>
    <row r="23" spans="1:4" ht="25.5" x14ac:dyDescent="0.2">
      <c r="A23" s="46" t="str">
        <f>Моющие!A33</f>
        <v>МАОУ СОШ № 13 структурное подразделение</v>
      </c>
      <c r="B23" s="67">
        <f>Моющие!B33</f>
        <v>22</v>
      </c>
      <c r="C23" s="67">
        <f>Моющие!C33</f>
        <v>86</v>
      </c>
      <c r="D23" s="91">
        <f t="shared" si="2"/>
        <v>109749.6</v>
      </c>
    </row>
    <row r="24" spans="1:4" x14ac:dyDescent="0.2">
      <c r="A24" s="46" t="str">
        <f>Моющие!A34</f>
        <v>Гимназия № 16 структурное подразделение</v>
      </c>
      <c r="B24" s="67">
        <f>Моющие!B34</f>
        <v>32</v>
      </c>
      <c r="C24" s="67">
        <f>Моющие!C34</f>
        <v>200</v>
      </c>
      <c r="D24" s="91">
        <f t="shared" si="2"/>
        <v>235758.40000000002</v>
      </c>
    </row>
    <row r="25" spans="1:4" ht="25.5" x14ac:dyDescent="0.2">
      <c r="A25" s="46" t="str">
        <f>Моющие!A35</f>
        <v>МАОУ ООШ № 17 с кадетскими классами структурное подразделение</v>
      </c>
      <c r="B25" s="67">
        <f>Моющие!B35</f>
        <v>13</v>
      </c>
      <c r="C25" s="67">
        <f>Моющие!C35</f>
        <v>56</v>
      </c>
      <c r="D25" s="91">
        <f t="shared" si="2"/>
        <v>70117.8</v>
      </c>
    </row>
    <row r="26" spans="1:4" ht="25.5" x14ac:dyDescent="0.2">
      <c r="A26" s="818" t="s">
        <v>670</v>
      </c>
      <c r="B26" s="67">
        <f>Моющие!B36</f>
        <v>5</v>
      </c>
      <c r="C26" s="67">
        <f>Моющие!C36</f>
        <v>34</v>
      </c>
      <c r="D26" s="91">
        <f t="shared" ref="D26:D40" si="3">(B26+C26)*$G$12</f>
        <v>39631.800000000003</v>
      </c>
    </row>
    <row r="27" spans="1:4" ht="25.5" x14ac:dyDescent="0.2">
      <c r="A27" s="818" t="s">
        <v>671</v>
      </c>
      <c r="B27" s="67">
        <f>Моющие!B37</f>
        <v>8</v>
      </c>
      <c r="C27" s="67">
        <f>Моющие!C37</f>
        <v>26</v>
      </c>
      <c r="D27" s="91">
        <f t="shared" si="3"/>
        <v>34550.800000000003</v>
      </c>
    </row>
    <row r="28" spans="1:4" ht="25.5" x14ac:dyDescent="0.2">
      <c r="A28" s="818" t="s">
        <v>672</v>
      </c>
      <c r="B28" s="67">
        <f>Моющие!B38</f>
        <v>17</v>
      </c>
      <c r="C28" s="67">
        <f>Моющие!C38</f>
        <v>91</v>
      </c>
      <c r="D28" s="91">
        <f t="shared" si="3"/>
        <v>109749.6</v>
      </c>
    </row>
    <row r="29" spans="1:4" ht="25.5" x14ac:dyDescent="0.2">
      <c r="A29" s="818" t="s">
        <v>673</v>
      </c>
      <c r="B29" s="67">
        <f>Моющие!B39</f>
        <v>21</v>
      </c>
      <c r="C29" s="67">
        <f>Моющие!C39</f>
        <v>85</v>
      </c>
      <c r="D29" s="91">
        <f t="shared" si="3"/>
        <v>107717.20000000001</v>
      </c>
    </row>
    <row r="30" spans="1:4" ht="25.5" x14ac:dyDescent="0.2">
      <c r="A30" s="818" t="s">
        <v>674</v>
      </c>
      <c r="B30" s="67">
        <f>Моющие!B40</f>
        <v>4</v>
      </c>
      <c r="C30" s="67">
        <f>Моющие!C40</f>
        <v>36</v>
      </c>
      <c r="D30" s="91">
        <f t="shared" si="3"/>
        <v>40648</v>
      </c>
    </row>
    <row r="31" spans="1:4" ht="25.5" x14ac:dyDescent="0.2">
      <c r="A31" s="818" t="s">
        <v>675</v>
      </c>
      <c r="B31" s="67">
        <f>Моющие!B41</f>
        <v>11</v>
      </c>
      <c r="C31" s="67">
        <f>Моющие!C41</f>
        <v>58</v>
      </c>
      <c r="D31" s="91">
        <f t="shared" si="3"/>
        <v>70117.8</v>
      </c>
    </row>
    <row r="32" spans="1:4" ht="25.5" x14ac:dyDescent="0.2">
      <c r="A32" s="818" t="s">
        <v>681</v>
      </c>
      <c r="B32" s="67">
        <f>Моющие!B42</f>
        <v>8</v>
      </c>
      <c r="C32" s="67">
        <f>Моющие!C42</f>
        <v>44</v>
      </c>
      <c r="D32" s="91">
        <f t="shared" si="3"/>
        <v>52842.400000000001</v>
      </c>
    </row>
    <row r="33" spans="1:6" ht="25.5" x14ac:dyDescent="0.2">
      <c r="A33" s="818" t="s">
        <v>682</v>
      </c>
      <c r="B33" s="67">
        <f>Моющие!B43</f>
        <v>10</v>
      </c>
      <c r="C33" s="67">
        <f>Моющие!C43</f>
        <v>45</v>
      </c>
      <c r="D33" s="91">
        <f t="shared" si="3"/>
        <v>55891</v>
      </c>
    </row>
    <row r="34" spans="1:6" ht="25.5" x14ac:dyDescent="0.2">
      <c r="A34" s="818" t="s">
        <v>676</v>
      </c>
      <c r="B34" s="67">
        <f>Моющие!B44</f>
        <v>44</v>
      </c>
      <c r="C34" s="67">
        <f>Моющие!C44</f>
        <v>176</v>
      </c>
      <c r="D34" s="91">
        <f t="shared" si="3"/>
        <v>223564</v>
      </c>
    </row>
    <row r="35" spans="1:6" ht="25.5" x14ac:dyDescent="0.2">
      <c r="A35" s="818" t="s">
        <v>677</v>
      </c>
      <c r="B35" s="67">
        <f>Моющие!B45</f>
        <v>6</v>
      </c>
      <c r="C35" s="67">
        <f>Моющие!C45</f>
        <v>42</v>
      </c>
      <c r="D35" s="91">
        <f t="shared" si="3"/>
        <v>48777.600000000006</v>
      </c>
    </row>
    <row r="36" spans="1:6" ht="25.5" x14ac:dyDescent="0.2">
      <c r="A36" s="818" t="s">
        <v>678</v>
      </c>
      <c r="B36" s="67">
        <f>Моющие!B46</f>
        <v>6</v>
      </c>
      <c r="C36" s="67">
        <f>Моющие!C46</f>
        <v>58</v>
      </c>
      <c r="D36" s="91">
        <f t="shared" si="3"/>
        <v>65036.800000000003</v>
      </c>
    </row>
    <row r="37" spans="1:6" ht="25.5" x14ac:dyDescent="0.2">
      <c r="A37" s="818" t="s">
        <v>683</v>
      </c>
      <c r="B37" s="67">
        <f>Моющие!B47</f>
        <v>13</v>
      </c>
      <c r="C37" s="67">
        <f>Моющие!C47</f>
        <v>22</v>
      </c>
      <c r="D37" s="91">
        <f t="shared" si="3"/>
        <v>35567</v>
      </c>
    </row>
    <row r="38" spans="1:6" ht="25.5" x14ac:dyDescent="0.2">
      <c r="A38" s="818" t="s">
        <v>679</v>
      </c>
      <c r="B38" s="67">
        <f>Моющие!B48</f>
        <v>8</v>
      </c>
      <c r="C38" s="67">
        <f>Моющие!C48</f>
        <v>33</v>
      </c>
      <c r="D38" s="91">
        <f t="shared" si="3"/>
        <v>41664.200000000004</v>
      </c>
    </row>
    <row r="39" spans="1:6" ht="25.5" x14ac:dyDescent="0.2">
      <c r="A39" s="818" t="s">
        <v>684</v>
      </c>
      <c r="B39" s="67">
        <f>Моющие!B49</f>
        <v>0</v>
      </c>
      <c r="C39" s="67">
        <f>Моющие!C49</f>
        <v>70</v>
      </c>
      <c r="D39" s="91">
        <f t="shared" si="3"/>
        <v>71134</v>
      </c>
    </row>
    <row r="40" spans="1:6" ht="25.5" x14ac:dyDescent="0.2">
      <c r="A40" s="818" t="s">
        <v>680</v>
      </c>
      <c r="B40" s="67">
        <f>Моющие!B50</f>
        <v>15</v>
      </c>
      <c r="C40" s="67">
        <f>Моющие!C50</f>
        <v>50</v>
      </c>
      <c r="D40" s="91">
        <f t="shared" si="3"/>
        <v>66053</v>
      </c>
    </row>
    <row r="41" spans="1:6" x14ac:dyDescent="0.2">
      <c r="A41" s="218" t="s">
        <v>685</v>
      </c>
      <c r="B41" s="372">
        <f>SUM(B17:B40)</f>
        <v>583</v>
      </c>
      <c r="C41" s="372">
        <f>SUM(C17:C40)</f>
        <v>2693</v>
      </c>
      <c r="D41" s="372">
        <f>SUM(D17:D40)</f>
        <v>3329071.1999999997</v>
      </c>
      <c r="F41" s="44"/>
    </row>
    <row r="42" spans="1:6" x14ac:dyDescent="0.2">
      <c r="A42" s="815"/>
      <c r="B42" s="816"/>
      <c r="C42" s="816"/>
      <c r="D42" s="817"/>
      <c r="F42" s="44"/>
    </row>
    <row r="46" spans="1:6" x14ac:dyDescent="0.2">
      <c r="A46" s="14" t="s">
        <v>432</v>
      </c>
    </row>
  </sheetData>
  <mergeCells count="3">
    <mergeCell ref="A2:H2"/>
    <mergeCell ref="A3:H3"/>
    <mergeCell ref="B16:C16"/>
  </mergeCells>
  <pageMargins left="0.74803149606299213" right="0.74803149606299213" top="0.98425196850393704" bottom="0.98425196850393704" header="0.51181102362204722" footer="0.51181102362204722"/>
  <pageSetup paperSize="9" scale="61" orientation="portrait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rgb="FF92D050"/>
    <pageSetUpPr fitToPage="1"/>
  </sheetPr>
  <dimension ref="A1:AA45"/>
  <sheetViews>
    <sheetView view="pageBreakPreview" zoomScaleNormal="100" zoomScaleSheetLayoutView="100" workbookViewId="0">
      <pane xSplit="1" ySplit="6" topLeftCell="B37" activePane="bottomRight" state="frozen"/>
      <selection activeCell="L30" sqref="L30"/>
      <selection pane="topRight" activeCell="L30" sqref="L30"/>
      <selection pane="bottomLeft" activeCell="L30" sqref="L30"/>
      <selection pane="bottomRight" activeCell="F2" sqref="F2:K3"/>
    </sheetView>
  </sheetViews>
  <sheetFormatPr defaultColWidth="9.140625" defaultRowHeight="12.75" x14ac:dyDescent="0.2"/>
  <cols>
    <col min="1" max="1" width="29.42578125" style="273" customWidth="1"/>
    <col min="2" max="2" width="8.7109375" style="273" customWidth="1"/>
    <col min="3" max="4" width="8.85546875" style="273" customWidth="1"/>
    <col min="5" max="5" width="8.5703125" style="273" hidden="1" customWidth="1"/>
    <col min="6" max="6" width="9.28515625" style="276" customWidth="1"/>
    <col min="7" max="7" width="10.140625" style="276" customWidth="1"/>
    <col min="8" max="8" width="11.5703125" style="276" customWidth="1"/>
    <col min="9" max="9" width="11.140625" style="276" customWidth="1"/>
    <col min="10" max="10" width="8.42578125" style="276" customWidth="1"/>
    <col min="11" max="11" width="11.140625" style="276" customWidth="1"/>
    <col min="12" max="12" width="20.5703125" style="273" customWidth="1"/>
    <col min="13" max="13" width="9.5703125" style="273" bestFit="1" customWidth="1"/>
    <col min="14" max="14" width="13.28515625" style="273" customWidth="1"/>
    <col min="15" max="16384" width="9.140625" style="273"/>
  </cols>
  <sheetData>
    <row r="1" spans="1:25" ht="31.5" customHeight="1" x14ac:dyDescent="0.2">
      <c r="A1" s="1200" t="s">
        <v>733</v>
      </c>
      <c r="B1" s="1200"/>
      <c r="C1" s="1200"/>
      <c r="D1" s="1200"/>
      <c r="E1" s="1200"/>
      <c r="F1" s="1200"/>
      <c r="G1" s="1200"/>
      <c r="H1" s="1200"/>
      <c r="I1" s="1200"/>
      <c r="J1" s="1200"/>
      <c r="K1" s="1200"/>
      <c r="L1" s="969"/>
      <c r="M1" s="970"/>
      <c r="N1" s="970"/>
      <c r="O1" s="970"/>
      <c r="P1" s="970"/>
      <c r="Q1" s="970"/>
    </row>
    <row r="2" spans="1:25" ht="31.5" customHeight="1" x14ac:dyDescent="0.2">
      <c r="A2" s="1201" t="s">
        <v>287</v>
      </c>
      <c r="B2" s="1201">
        <v>2019</v>
      </c>
      <c r="C2" s="1201">
        <v>2020</v>
      </c>
      <c r="D2" s="1201">
        <v>2021</v>
      </c>
      <c r="E2" s="1200" t="s">
        <v>745</v>
      </c>
      <c r="F2" s="1201" t="s">
        <v>261</v>
      </c>
      <c r="G2" s="1201"/>
      <c r="H2" s="1201"/>
      <c r="I2" s="1202" t="s">
        <v>262</v>
      </c>
      <c r="J2" s="1202"/>
      <c r="K2" s="1202"/>
      <c r="L2" s="969"/>
      <c r="M2" s="970"/>
      <c r="N2" s="970"/>
      <c r="O2" s="970"/>
      <c r="P2" s="970"/>
      <c r="Q2" s="970"/>
    </row>
    <row r="3" spans="1:25" ht="18.75" customHeight="1" x14ac:dyDescent="0.2">
      <c r="A3" s="1201"/>
      <c r="B3" s="1201"/>
      <c r="C3" s="1201"/>
      <c r="D3" s="1201"/>
      <c r="E3" s="1200"/>
      <c r="F3" s="1201"/>
      <c r="G3" s="1201"/>
      <c r="H3" s="1201"/>
      <c r="I3" s="1202"/>
      <c r="J3" s="1202"/>
      <c r="K3" s="1202"/>
      <c r="L3" s="969"/>
      <c r="M3" s="970"/>
      <c r="N3" s="970"/>
      <c r="O3" s="970"/>
      <c r="P3" s="970"/>
      <c r="Q3" s="970"/>
    </row>
    <row r="4" spans="1:25" ht="46.5" customHeight="1" x14ac:dyDescent="0.2">
      <c r="A4" s="1201"/>
      <c r="B4" s="1201"/>
      <c r="C4" s="1201"/>
      <c r="D4" s="1201"/>
      <c r="E4" s="1200"/>
      <c r="F4" s="1202" t="s">
        <v>288</v>
      </c>
      <c r="G4" s="1202"/>
      <c r="H4" s="1202"/>
      <c r="I4" s="1202" t="s">
        <v>288</v>
      </c>
      <c r="J4" s="1202"/>
      <c r="K4" s="1202"/>
      <c r="L4" s="969"/>
      <c r="M4" s="970"/>
      <c r="N4" s="970"/>
      <c r="O4" s="970"/>
      <c r="P4" s="970"/>
      <c r="Q4" s="970"/>
    </row>
    <row r="5" spans="1:25" ht="15.75" customHeight="1" x14ac:dyDescent="0.2">
      <c r="A5" s="1201"/>
      <c r="B5" s="1201"/>
      <c r="C5" s="1201"/>
      <c r="D5" s="1201"/>
      <c r="E5" s="1200"/>
      <c r="F5" s="957">
        <v>1.1020000000000001</v>
      </c>
      <c r="G5" s="963"/>
      <c r="H5" s="963"/>
      <c r="I5" s="963"/>
      <c r="J5" s="963"/>
      <c r="K5" s="963"/>
      <c r="L5" s="969"/>
      <c r="M5" s="970"/>
      <c r="N5" s="970"/>
      <c r="O5" s="970"/>
      <c r="P5" s="970"/>
      <c r="Q5" s="970"/>
    </row>
    <row r="6" spans="1:25" ht="34.5" customHeight="1" x14ac:dyDescent="0.2">
      <c r="A6" s="1201"/>
      <c r="B6" s="272" t="s">
        <v>289</v>
      </c>
      <c r="C6" s="272" t="s">
        <v>289</v>
      </c>
      <c r="D6" s="272" t="s">
        <v>289</v>
      </c>
      <c r="E6" s="272" t="s">
        <v>289</v>
      </c>
      <c r="F6" s="939" t="s">
        <v>289</v>
      </c>
      <c r="G6" s="272" t="s">
        <v>290</v>
      </c>
      <c r="H6" s="272" t="s">
        <v>291</v>
      </c>
      <c r="I6" s="939" t="s">
        <v>289</v>
      </c>
      <c r="J6" s="272" t="s">
        <v>290</v>
      </c>
      <c r="K6" s="272" t="s">
        <v>291</v>
      </c>
      <c r="L6" s="982"/>
      <c r="M6" s="939" t="s">
        <v>289</v>
      </c>
      <c r="N6" s="272" t="s">
        <v>290</v>
      </c>
      <c r="O6" s="272" t="s">
        <v>291</v>
      </c>
      <c r="P6" s="939" t="s">
        <v>289</v>
      </c>
      <c r="Q6" s="272" t="s">
        <v>290</v>
      </c>
      <c r="R6" s="272" t="s">
        <v>291</v>
      </c>
    </row>
    <row r="7" spans="1:25" ht="27.75" customHeight="1" x14ac:dyDescent="0.2">
      <c r="A7" s="264" t="s">
        <v>713</v>
      </c>
      <c r="B7" s="860">
        <v>45.91</v>
      </c>
      <c r="C7" s="860">
        <f t="shared" ref="C7:C12" si="0">ROUND(B7*1.04,2)</f>
        <v>47.75</v>
      </c>
      <c r="D7" s="360">
        <v>43.35</v>
      </c>
      <c r="E7" s="360">
        <v>46.68</v>
      </c>
      <c r="F7" s="360">
        <f>D7*$F$5</f>
        <v>47.771700000000003</v>
      </c>
      <c r="G7" s="809">
        <v>390</v>
      </c>
      <c r="H7" s="270">
        <f>F7*G7/1000</f>
        <v>18.630963000000001</v>
      </c>
      <c r="I7" s="270">
        <f>F7</f>
        <v>47.771700000000003</v>
      </c>
      <c r="J7" s="809">
        <v>450</v>
      </c>
      <c r="K7" s="270">
        <f>I7*J7/1000</f>
        <v>21.497264999999999</v>
      </c>
      <c r="L7" s="264" t="s">
        <v>713</v>
      </c>
      <c r="M7" s="360">
        <v>43.35</v>
      </c>
      <c r="N7" s="809">
        <v>390</v>
      </c>
      <c r="O7" s="270">
        <f>M7*N7/1000</f>
        <v>16.906500000000001</v>
      </c>
      <c r="P7" s="270">
        <f t="shared" ref="P7:P36" si="1">M7</f>
        <v>43.35</v>
      </c>
      <c r="Q7" s="809">
        <v>450</v>
      </c>
      <c r="R7" s="270">
        <f>P7*Q7/1000</f>
        <v>19.5075</v>
      </c>
    </row>
    <row r="8" spans="1:25" ht="16.5" customHeight="1" x14ac:dyDescent="0.2">
      <c r="A8" s="265" t="s">
        <v>714</v>
      </c>
      <c r="B8" s="860">
        <v>214.18</v>
      </c>
      <c r="C8" s="860">
        <f t="shared" si="0"/>
        <v>222.75</v>
      </c>
      <c r="D8" s="360">
        <v>214.56</v>
      </c>
      <c r="E8" s="360">
        <v>234.99</v>
      </c>
      <c r="F8" s="360">
        <f>D8*$F$5</f>
        <v>236.44512000000003</v>
      </c>
      <c r="G8" s="809">
        <v>30</v>
      </c>
      <c r="H8" s="270">
        <f t="shared" ref="H8:H36" si="2">F8*G8/1000</f>
        <v>7.0933536000000013</v>
      </c>
      <c r="I8" s="270">
        <f t="shared" ref="I8:I36" si="3">F8</f>
        <v>236.44512000000003</v>
      </c>
      <c r="J8" s="809">
        <v>40</v>
      </c>
      <c r="K8" s="270">
        <f t="shared" ref="K8:K36" si="4">I8*J8/1000</f>
        <v>9.4578048000000017</v>
      </c>
      <c r="L8" s="265" t="s">
        <v>714</v>
      </c>
      <c r="M8" s="360">
        <v>214.56</v>
      </c>
      <c r="N8" s="809">
        <v>30</v>
      </c>
      <c r="O8" s="270">
        <f t="shared" ref="O8:O36" si="5">M8*N8/1000</f>
        <v>6.4367999999999999</v>
      </c>
      <c r="P8" s="270">
        <f t="shared" si="1"/>
        <v>214.56</v>
      </c>
      <c r="Q8" s="809">
        <v>40</v>
      </c>
      <c r="R8" s="270">
        <f t="shared" ref="R8:R35" si="6">P8*Q8/1000</f>
        <v>8.5823999999999998</v>
      </c>
    </row>
    <row r="9" spans="1:25" ht="16.5" customHeight="1" x14ac:dyDescent="0.2">
      <c r="A9" s="265" t="s">
        <v>715</v>
      </c>
      <c r="B9" s="860">
        <v>121.34</v>
      </c>
      <c r="C9" s="860">
        <f t="shared" si="0"/>
        <v>126.19</v>
      </c>
      <c r="D9" s="360">
        <v>139.25</v>
      </c>
      <c r="E9" s="360">
        <v>153.54</v>
      </c>
      <c r="F9" s="360">
        <f t="shared" ref="F9:F36" si="7">D9*$F$5</f>
        <v>153.45350000000002</v>
      </c>
      <c r="G9" s="809">
        <v>9</v>
      </c>
      <c r="H9" s="270">
        <f t="shared" si="2"/>
        <v>1.3810815000000003</v>
      </c>
      <c r="I9" s="270">
        <f t="shared" si="3"/>
        <v>153.45350000000002</v>
      </c>
      <c r="J9" s="809">
        <v>11</v>
      </c>
      <c r="K9" s="270">
        <f t="shared" si="4"/>
        <v>1.6879885000000001</v>
      </c>
      <c r="L9" s="265" t="s">
        <v>715</v>
      </c>
      <c r="M9" s="360">
        <v>139.25</v>
      </c>
      <c r="N9" s="809">
        <v>9</v>
      </c>
      <c r="O9" s="270">
        <f t="shared" si="5"/>
        <v>1.25325</v>
      </c>
      <c r="P9" s="270">
        <f t="shared" si="1"/>
        <v>139.25</v>
      </c>
      <c r="Q9" s="809">
        <v>11</v>
      </c>
      <c r="R9" s="270">
        <f t="shared" si="6"/>
        <v>1.5317499999999999</v>
      </c>
      <c r="Y9" s="857"/>
    </row>
    <row r="10" spans="1:25" ht="16.5" customHeight="1" x14ac:dyDescent="0.2">
      <c r="A10" s="265" t="s">
        <v>716</v>
      </c>
      <c r="B10" s="860">
        <v>357.54</v>
      </c>
      <c r="C10" s="860">
        <f t="shared" si="0"/>
        <v>371.84</v>
      </c>
      <c r="D10" s="360">
        <v>387.7</v>
      </c>
      <c r="E10" s="360">
        <v>442.73</v>
      </c>
      <c r="F10" s="360">
        <f t="shared" si="7"/>
        <v>427.24540000000002</v>
      </c>
      <c r="G10" s="809">
        <v>4</v>
      </c>
      <c r="H10" s="270">
        <f t="shared" si="2"/>
        <v>1.7089816</v>
      </c>
      <c r="I10" s="270">
        <f t="shared" si="3"/>
        <v>427.24540000000002</v>
      </c>
      <c r="J10" s="809">
        <v>6</v>
      </c>
      <c r="K10" s="270">
        <f t="shared" si="4"/>
        <v>2.5634724000000002</v>
      </c>
      <c r="L10" s="265" t="s">
        <v>716</v>
      </c>
      <c r="M10" s="360">
        <v>387.7</v>
      </c>
      <c r="N10" s="809">
        <v>4</v>
      </c>
      <c r="O10" s="270">
        <f t="shared" si="5"/>
        <v>1.5508</v>
      </c>
      <c r="P10" s="270">
        <f t="shared" si="1"/>
        <v>387.7</v>
      </c>
      <c r="Q10" s="809">
        <v>6</v>
      </c>
      <c r="R10" s="270">
        <f t="shared" si="6"/>
        <v>2.3261999999999996</v>
      </c>
      <c r="Y10" s="857"/>
    </row>
    <row r="11" spans="1:25" ht="16.5" customHeight="1" x14ac:dyDescent="0.2">
      <c r="A11" s="265" t="s">
        <v>717</v>
      </c>
      <c r="B11" s="860">
        <v>316.57</v>
      </c>
      <c r="C11" s="860">
        <f t="shared" si="0"/>
        <v>329.23</v>
      </c>
      <c r="D11" s="360">
        <v>384.23</v>
      </c>
      <c r="E11" s="360">
        <v>393.86</v>
      </c>
      <c r="F11" s="360">
        <f t="shared" si="7"/>
        <v>423.42146000000008</v>
      </c>
      <c r="G11" s="809">
        <v>50</v>
      </c>
      <c r="H11" s="270">
        <f t="shared" si="2"/>
        <v>21.171073000000003</v>
      </c>
      <c r="I11" s="270">
        <f t="shared" si="3"/>
        <v>423.42146000000008</v>
      </c>
      <c r="J11" s="809">
        <v>55</v>
      </c>
      <c r="K11" s="270">
        <f t="shared" si="4"/>
        <v>23.288180300000004</v>
      </c>
      <c r="L11" s="265" t="s">
        <v>717</v>
      </c>
      <c r="M11" s="360">
        <v>384.23</v>
      </c>
      <c r="N11" s="809">
        <v>50</v>
      </c>
      <c r="O11" s="270">
        <f t="shared" si="5"/>
        <v>19.211500000000001</v>
      </c>
      <c r="P11" s="270">
        <f t="shared" si="1"/>
        <v>384.23</v>
      </c>
      <c r="Q11" s="809">
        <v>55</v>
      </c>
      <c r="R11" s="270">
        <f t="shared" si="6"/>
        <v>21.132650000000002</v>
      </c>
      <c r="Y11" s="857"/>
    </row>
    <row r="12" spans="1:25" ht="24.75" customHeight="1" x14ac:dyDescent="0.2">
      <c r="A12" s="265" t="s">
        <v>718</v>
      </c>
      <c r="B12" s="860">
        <v>135.12</v>
      </c>
      <c r="C12" s="860">
        <f t="shared" si="0"/>
        <v>140.52000000000001</v>
      </c>
      <c r="D12" s="360">
        <v>144.13999999999999</v>
      </c>
      <c r="E12" s="360">
        <v>175.08</v>
      </c>
      <c r="F12" s="360">
        <f t="shared" si="7"/>
        <v>158.84227999999999</v>
      </c>
      <c r="G12" s="809">
        <v>20</v>
      </c>
      <c r="H12" s="270">
        <f t="shared" si="2"/>
        <v>3.1768455999999996</v>
      </c>
      <c r="I12" s="270">
        <f t="shared" si="3"/>
        <v>158.84227999999999</v>
      </c>
      <c r="J12" s="809">
        <v>24</v>
      </c>
      <c r="K12" s="270">
        <f t="shared" si="4"/>
        <v>3.8122147200000001</v>
      </c>
      <c r="L12" s="265" t="s">
        <v>718</v>
      </c>
      <c r="M12" s="360">
        <v>144.13999999999999</v>
      </c>
      <c r="N12" s="809">
        <v>20</v>
      </c>
      <c r="O12" s="270">
        <f t="shared" si="5"/>
        <v>2.8827999999999996</v>
      </c>
      <c r="P12" s="270">
        <f t="shared" si="1"/>
        <v>144.13999999999999</v>
      </c>
      <c r="Q12" s="809">
        <v>24</v>
      </c>
      <c r="R12" s="270">
        <f t="shared" si="6"/>
        <v>3.4593599999999998</v>
      </c>
      <c r="Y12" s="857"/>
    </row>
    <row r="13" spans="1:25" ht="25.5" customHeight="1" x14ac:dyDescent="0.2">
      <c r="A13" s="265" t="s">
        <v>698</v>
      </c>
      <c r="B13" s="860">
        <v>0</v>
      </c>
      <c r="C13" s="860">
        <v>0</v>
      </c>
      <c r="D13" s="360">
        <v>192.71</v>
      </c>
      <c r="E13" s="360">
        <v>226.37</v>
      </c>
      <c r="F13" s="360">
        <f t="shared" si="7"/>
        <v>212.36642000000003</v>
      </c>
      <c r="G13" s="809">
        <v>20</v>
      </c>
      <c r="H13" s="270">
        <f>F13*G13/1000</f>
        <v>4.2473284000000007</v>
      </c>
      <c r="I13" s="270">
        <f t="shared" si="3"/>
        <v>212.36642000000003</v>
      </c>
      <c r="J13" s="809">
        <v>25</v>
      </c>
      <c r="K13" s="270">
        <f t="shared" si="4"/>
        <v>5.3091605000000008</v>
      </c>
      <c r="L13" s="265" t="s">
        <v>698</v>
      </c>
      <c r="M13" s="360">
        <v>192.71</v>
      </c>
      <c r="N13" s="809">
        <v>20</v>
      </c>
      <c r="O13" s="270">
        <f>M13*N13/1000</f>
        <v>3.8542000000000001</v>
      </c>
      <c r="P13" s="270">
        <f t="shared" si="1"/>
        <v>192.71</v>
      </c>
      <c r="Q13" s="809">
        <v>25</v>
      </c>
      <c r="R13" s="270">
        <f t="shared" si="6"/>
        <v>4.8177500000000002</v>
      </c>
      <c r="Y13" s="857"/>
    </row>
    <row r="14" spans="1:25" ht="24" customHeight="1" x14ac:dyDescent="0.2">
      <c r="A14" s="265" t="s">
        <v>281</v>
      </c>
      <c r="B14" s="860">
        <v>138.74</v>
      </c>
      <c r="C14" s="860">
        <f t="shared" ref="C14:C36" si="8">ROUND(B14*1.04,2)</f>
        <v>144.29</v>
      </c>
      <c r="D14" s="360">
        <v>162.5</v>
      </c>
      <c r="E14" s="360">
        <v>173.88</v>
      </c>
      <c r="F14" s="360">
        <f t="shared" si="7"/>
        <v>179.07500000000002</v>
      </c>
      <c r="G14" s="809">
        <v>32</v>
      </c>
      <c r="H14" s="270">
        <f t="shared" si="2"/>
        <v>5.7304000000000004</v>
      </c>
      <c r="I14" s="270">
        <f t="shared" si="3"/>
        <v>179.07500000000002</v>
      </c>
      <c r="J14" s="809">
        <v>37</v>
      </c>
      <c r="K14" s="270">
        <f t="shared" si="4"/>
        <v>6.6257750000000009</v>
      </c>
      <c r="L14" s="265" t="s">
        <v>281</v>
      </c>
      <c r="M14" s="360">
        <v>162.5</v>
      </c>
      <c r="N14" s="809">
        <v>32</v>
      </c>
      <c r="O14" s="270">
        <f t="shared" si="5"/>
        <v>5.2</v>
      </c>
      <c r="P14" s="270">
        <f t="shared" si="1"/>
        <v>162.5</v>
      </c>
      <c r="Q14" s="809">
        <v>37</v>
      </c>
      <c r="R14" s="270">
        <f t="shared" si="6"/>
        <v>6.0125000000000002</v>
      </c>
      <c r="Y14" s="857"/>
    </row>
    <row r="15" spans="1:25" x14ac:dyDescent="0.2">
      <c r="A15" s="265" t="s">
        <v>719</v>
      </c>
      <c r="B15" s="860">
        <v>4.43</v>
      </c>
      <c r="C15" s="860">
        <f t="shared" si="8"/>
        <v>4.6100000000000003</v>
      </c>
      <c r="D15" s="360">
        <v>6.81</v>
      </c>
      <c r="E15" s="360">
        <v>7.7</v>
      </c>
      <c r="F15" s="360">
        <f t="shared" si="7"/>
        <v>7.5046200000000001</v>
      </c>
      <c r="G15" s="810">
        <v>1</v>
      </c>
      <c r="H15" s="271">
        <f>F15*G15</f>
        <v>7.5046200000000001</v>
      </c>
      <c r="I15" s="270">
        <f t="shared" si="3"/>
        <v>7.5046200000000001</v>
      </c>
      <c r="J15" s="809">
        <v>1</v>
      </c>
      <c r="K15" s="271">
        <f>I15*J15</f>
        <v>7.5046200000000001</v>
      </c>
      <c r="L15" s="265" t="s">
        <v>719</v>
      </c>
      <c r="M15" s="360">
        <v>6.81</v>
      </c>
      <c r="N15" s="810">
        <v>1</v>
      </c>
      <c r="O15" s="271">
        <f>M15*N15</f>
        <v>6.81</v>
      </c>
      <c r="P15" s="270">
        <f t="shared" si="1"/>
        <v>6.81</v>
      </c>
      <c r="Q15" s="809">
        <v>1</v>
      </c>
      <c r="R15" s="271">
        <f>P15*Q15</f>
        <v>6.81</v>
      </c>
      <c r="Y15" s="857"/>
    </row>
    <row r="16" spans="1:25" x14ac:dyDescent="0.2">
      <c r="A16" s="265" t="s">
        <v>123</v>
      </c>
      <c r="B16" s="860">
        <v>22.83</v>
      </c>
      <c r="C16" s="860">
        <f t="shared" si="8"/>
        <v>23.74</v>
      </c>
      <c r="D16" s="360">
        <v>23.01</v>
      </c>
      <c r="E16" s="360">
        <v>31.32</v>
      </c>
      <c r="F16" s="360">
        <f t="shared" si="7"/>
        <v>25.357020000000002</v>
      </c>
      <c r="G16" s="809">
        <v>120</v>
      </c>
      <c r="H16" s="270">
        <f t="shared" si="2"/>
        <v>3.0428424000000005</v>
      </c>
      <c r="I16" s="270">
        <f t="shared" si="3"/>
        <v>25.357020000000002</v>
      </c>
      <c r="J16" s="809">
        <v>140</v>
      </c>
      <c r="K16" s="270">
        <f t="shared" si="4"/>
        <v>3.5499828000000004</v>
      </c>
      <c r="L16" s="265" t="s">
        <v>123</v>
      </c>
      <c r="M16" s="360">
        <v>23.01</v>
      </c>
      <c r="N16" s="809">
        <v>120</v>
      </c>
      <c r="O16" s="270">
        <f t="shared" si="5"/>
        <v>2.7612000000000001</v>
      </c>
      <c r="P16" s="270">
        <f t="shared" si="1"/>
        <v>23.01</v>
      </c>
      <c r="Q16" s="809">
        <v>140</v>
      </c>
      <c r="R16" s="270">
        <f t="shared" si="6"/>
        <v>3.2214</v>
      </c>
      <c r="Y16" s="857"/>
    </row>
    <row r="17" spans="1:27" x14ac:dyDescent="0.2">
      <c r="A17" s="265" t="s">
        <v>720</v>
      </c>
      <c r="B17" s="860">
        <v>27.72</v>
      </c>
      <c r="C17" s="860">
        <f t="shared" si="8"/>
        <v>28.83</v>
      </c>
      <c r="D17" s="360">
        <v>34.869999999999997</v>
      </c>
      <c r="E17" s="360">
        <v>54.04</v>
      </c>
      <c r="F17" s="360">
        <f t="shared" si="7"/>
        <v>38.426740000000002</v>
      </c>
      <c r="G17" s="809">
        <v>180</v>
      </c>
      <c r="H17" s="270">
        <f t="shared" si="2"/>
        <v>6.9168132000000009</v>
      </c>
      <c r="I17" s="270">
        <f t="shared" si="3"/>
        <v>38.426740000000002</v>
      </c>
      <c r="J17" s="809">
        <v>220</v>
      </c>
      <c r="K17" s="270">
        <f t="shared" si="4"/>
        <v>8.4538828000000006</v>
      </c>
      <c r="L17" s="265" t="s">
        <v>720</v>
      </c>
      <c r="M17" s="360">
        <v>34.869999999999997</v>
      </c>
      <c r="N17" s="809">
        <v>180</v>
      </c>
      <c r="O17" s="270">
        <f t="shared" si="5"/>
        <v>6.2765999999999993</v>
      </c>
      <c r="P17" s="270">
        <f t="shared" si="1"/>
        <v>34.869999999999997</v>
      </c>
      <c r="Q17" s="809">
        <v>220</v>
      </c>
      <c r="R17" s="270">
        <f t="shared" si="6"/>
        <v>7.6713999999999993</v>
      </c>
      <c r="Y17" s="857"/>
    </row>
    <row r="18" spans="1:27" x14ac:dyDescent="0.2">
      <c r="A18" s="266" t="s">
        <v>721</v>
      </c>
      <c r="B18" s="861">
        <v>99.07</v>
      </c>
      <c r="C18" s="860">
        <f t="shared" si="8"/>
        <v>103.03</v>
      </c>
      <c r="D18" s="360">
        <v>116.2</v>
      </c>
      <c r="E18" s="360">
        <v>112.56</v>
      </c>
      <c r="F18" s="360">
        <f t="shared" si="7"/>
        <v>128.05240000000001</v>
      </c>
      <c r="G18" s="809">
        <v>95</v>
      </c>
      <c r="H18" s="270">
        <f t="shared" si="2"/>
        <v>12.164978000000001</v>
      </c>
      <c r="I18" s="270">
        <f t="shared" si="3"/>
        <v>128.05240000000001</v>
      </c>
      <c r="J18" s="809">
        <v>100</v>
      </c>
      <c r="K18" s="270">
        <f t="shared" si="4"/>
        <v>12.80524</v>
      </c>
      <c r="L18" s="266" t="s">
        <v>721</v>
      </c>
      <c r="M18" s="360">
        <v>116.2</v>
      </c>
      <c r="N18" s="809">
        <v>95</v>
      </c>
      <c r="O18" s="270">
        <f t="shared" si="5"/>
        <v>11.039</v>
      </c>
      <c r="P18" s="270">
        <f t="shared" si="1"/>
        <v>116.2</v>
      </c>
      <c r="Q18" s="809">
        <v>100</v>
      </c>
      <c r="R18" s="270">
        <f t="shared" si="6"/>
        <v>11.62</v>
      </c>
      <c r="Y18" s="857"/>
    </row>
    <row r="19" spans="1:27" x14ac:dyDescent="0.2">
      <c r="A19" s="266" t="s">
        <v>722</v>
      </c>
      <c r="B19" s="861">
        <v>141.16</v>
      </c>
      <c r="C19" s="860">
        <f t="shared" si="8"/>
        <v>146.81</v>
      </c>
      <c r="D19" s="360">
        <v>116.7</v>
      </c>
      <c r="E19" s="360">
        <v>135.46</v>
      </c>
      <c r="F19" s="360">
        <f t="shared" si="7"/>
        <v>128.60340000000002</v>
      </c>
      <c r="G19" s="809">
        <v>9</v>
      </c>
      <c r="H19" s="270">
        <f t="shared" si="2"/>
        <v>1.1574306000000001</v>
      </c>
      <c r="I19" s="270">
        <f t="shared" si="3"/>
        <v>128.60340000000002</v>
      </c>
      <c r="J19" s="809">
        <v>11</v>
      </c>
      <c r="K19" s="270">
        <f t="shared" si="4"/>
        <v>1.4146374000000004</v>
      </c>
      <c r="L19" s="266" t="s">
        <v>722</v>
      </c>
      <c r="M19" s="360">
        <v>116.7</v>
      </c>
      <c r="N19" s="809">
        <v>9</v>
      </c>
      <c r="O19" s="270">
        <f t="shared" si="5"/>
        <v>1.0503</v>
      </c>
      <c r="P19" s="270">
        <f t="shared" si="1"/>
        <v>116.7</v>
      </c>
      <c r="Q19" s="809">
        <v>11</v>
      </c>
      <c r="R19" s="270">
        <f t="shared" si="6"/>
        <v>1.2837000000000001</v>
      </c>
      <c r="Y19" s="857"/>
    </row>
    <row r="20" spans="1:27" ht="25.5" x14ac:dyDescent="0.2">
      <c r="A20" s="265" t="s">
        <v>723</v>
      </c>
      <c r="B20" s="860">
        <v>29.52</v>
      </c>
      <c r="C20" s="860">
        <f t="shared" si="8"/>
        <v>30.7</v>
      </c>
      <c r="D20" s="360">
        <v>34.72</v>
      </c>
      <c r="E20" s="360">
        <v>49.86</v>
      </c>
      <c r="F20" s="360">
        <f t="shared" si="7"/>
        <v>38.26144</v>
      </c>
      <c r="G20" s="809">
        <v>100</v>
      </c>
      <c r="H20" s="270">
        <f t="shared" si="2"/>
        <v>3.8261440000000002</v>
      </c>
      <c r="I20" s="270">
        <f t="shared" si="3"/>
        <v>38.26144</v>
      </c>
      <c r="J20" s="809">
        <v>100</v>
      </c>
      <c r="K20" s="270">
        <f t="shared" si="4"/>
        <v>3.8261440000000002</v>
      </c>
      <c r="L20" s="265" t="s">
        <v>723</v>
      </c>
      <c r="M20" s="360">
        <v>34.72</v>
      </c>
      <c r="N20" s="809">
        <v>100</v>
      </c>
      <c r="O20" s="270">
        <f t="shared" si="5"/>
        <v>3.472</v>
      </c>
      <c r="P20" s="270">
        <f t="shared" si="1"/>
        <v>34.72</v>
      </c>
      <c r="Q20" s="809">
        <v>100</v>
      </c>
      <c r="R20" s="270">
        <f t="shared" si="6"/>
        <v>3.472</v>
      </c>
      <c r="Y20" s="857"/>
    </row>
    <row r="21" spans="1:27" ht="14.25" customHeight="1" x14ac:dyDescent="0.2">
      <c r="A21" s="265" t="s">
        <v>724</v>
      </c>
      <c r="B21" s="860">
        <v>86.91</v>
      </c>
      <c r="C21" s="860">
        <f t="shared" si="8"/>
        <v>90.39</v>
      </c>
      <c r="D21" s="360">
        <f>81.56-40</f>
        <v>41.56</v>
      </c>
      <c r="E21" s="360">
        <v>90</v>
      </c>
      <c r="F21" s="360">
        <f t="shared" si="7"/>
        <v>45.799120000000009</v>
      </c>
      <c r="G21" s="809">
        <v>0</v>
      </c>
      <c r="H21" s="270">
        <f>F21*G21</f>
        <v>0</v>
      </c>
      <c r="I21" s="270">
        <f t="shared" si="3"/>
        <v>45.799120000000009</v>
      </c>
      <c r="J21" s="809">
        <v>50</v>
      </c>
      <c r="K21" s="270">
        <f t="shared" si="4"/>
        <v>2.2899560000000005</v>
      </c>
      <c r="L21" s="263" t="s">
        <v>724</v>
      </c>
      <c r="M21" s="360">
        <f>81.56-40</f>
        <v>41.56</v>
      </c>
      <c r="N21" s="809">
        <v>0</v>
      </c>
      <c r="O21" s="270">
        <f>M21*N21</f>
        <v>0</v>
      </c>
      <c r="P21" s="270">
        <f t="shared" si="1"/>
        <v>41.56</v>
      </c>
      <c r="Q21" s="966">
        <f>50</f>
        <v>50</v>
      </c>
      <c r="R21" s="270">
        <f t="shared" si="6"/>
        <v>2.0779999999999998</v>
      </c>
      <c r="Y21" s="857"/>
    </row>
    <row r="22" spans="1:27" x14ac:dyDescent="0.2">
      <c r="A22" s="265" t="s">
        <v>725</v>
      </c>
      <c r="B22" s="860">
        <v>30.68</v>
      </c>
      <c r="C22" s="860">
        <f t="shared" si="8"/>
        <v>31.91</v>
      </c>
      <c r="D22" s="360">
        <v>32.78</v>
      </c>
      <c r="E22" s="360">
        <v>34.47</v>
      </c>
      <c r="F22" s="360">
        <f t="shared" si="7"/>
        <v>36.123560000000005</v>
      </c>
      <c r="G22" s="809">
        <v>40</v>
      </c>
      <c r="H22" s="270">
        <f t="shared" si="2"/>
        <v>1.4449424000000002</v>
      </c>
      <c r="I22" s="270">
        <f t="shared" si="3"/>
        <v>36.123560000000005</v>
      </c>
      <c r="J22" s="809">
        <v>50</v>
      </c>
      <c r="K22" s="270">
        <f t="shared" si="4"/>
        <v>1.8061780000000003</v>
      </c>
      <c r="L22" s="265" t="s">
        <v>725</v>
      </c>
      <c r="M22" s="360">
        <v>32.78</v>
      </c>
      <c r="N22" s="809">
        <v>40</v>
      </c>
      <c r="O22" s="270">
        <f t="shared" si="5"/>
        <v>1.3112000000000001</v>
      </c>
      <c r="P22" s="270">
        <f t="shared" si="1"/>
        <v>32.78</v>
      </c>
      <c r="Q22" s="809">
        <v>50</v>
      </c>
      <c r="R22" s="270">
        <f t="shared" si="6"/>
        <v>1.639</v>
      </c>
      <c r="Y22" s="857"/>
    </row>
    <row r="23" spans="1:27" s="276" customFormat="1" x14ac:dyDescent="0.2">
      <c r="A23" s="263" t="s">
        <v>726</v>
      </c>
      <c r="B23" s="862">
        <v>41.12</v>
      </c>
      <c r="C23" s="860">
        <f t="shared" si="8"/>
        <v>42.76</v>
      </c>
      <c r="D23" s="360">
        <v>35.619999999999997</v>
      </c>
      <c r="E23" s="360">
        <v>36.85</v>
      </c>
      <c r="F23" s="360">
        <f t="shared" si="7"/>
        <v>39.253239999999998</v>
      </c>
      <c r="G23" s="809">
        <v>60</v>
      </c>
      <c r="H23" s="270">
        <f t="shared" si="2"/>
        <v>2.3551943999999998</v>
      </c>
      <c r="I23" s="270">
        <f t="shared" si="3"/>
        <v>39.253239999999998</v>
      </c>
      <c r="J23" s="809">
        <v>80</v>
      </c>
      <c r="K23" s="270">
        <f t="shared" si="4"/>
        <v>3.1402592</v>
      </c>
      <c r="L23" s="263" t="s">
        <v>726</v>
      </c>
      <c r="M23" s="360">
        <v>35.619999999999997</v>
      </c>
      <c r="N23" s="809">
        <v>60</v>
      </c>
      <c r="O23" s="270">
        <f t="shared" si="5"/>
        <v>2.1372</v>
      </c>
      <c r="P23" s="270">
        <f t="shared" si="1"/>
        <v>35.619999999999997</v>
      </c>
      <c r="Q23" s="809">
        <v>80</v>
      </c>
      <c r="R23" s="270">
        <f t="shared" si="6"/>
        <v>2.8495999999999997</v>
      </c>
      <c r="T23" s="273"/>
      <c r="W23" s="273"/>
      <c r="Y23" s="857"/>
      <c r="AA23" s="273"/>
    </row>
    <row r="24" spans="1:27" x14ac:dyDescent="0.2">
      <c r="A24" s="267" t="s">
        <v>727</v>
      </c>
      <c r="B24" s="860">
        <v>25.8</v>
      </c>
      <c r="C24" s="860">
        <f t="shared" si="8"/>
        <v>26.83</v>
      </c>
      <c r="D24" s="360">
        <v>55.26</v>
      </c>
      <c r="E24" s="360">
        <v>55.6</v>
      </c>
      <c r="F24" s="360">
        <f t="shared" si="7"/>
        <v>60.896520000000002</v>
      </c>
      <c r="G24" s="809">
        <v>30</v>
      </c>
      <c r="H24" s="270">
        <f t="shared" si="2"/>
        <v>1.8268956000000001</v>
      </c>
      <c r="I24" s="270">
        <f t="shared" si="3"/>
        <v>60.896520000000002</v>
      </c>
      <c r="J24" s="809">
        <v>43</v>
      </c>
      <c r="K24" s="270">
        <f t="shared" si="4"/>
        <v>2.61855036</v>
      </c>
      <c r="L24" s="267" t="s">
        <v>727</v>
      </c>
      <c r="M24" s="360">
        <v>55.26</v>
      </c>
      <c r="N24" s="809">
        <v>30</v>
      </c>
      <c r="O24" s="270">
        <f t="shared" si="5"/>
        <v>1.6577999999999999</v>
      </c>
      <c r="P24" s="270">
        <f t="shared" si="1"/>
        <v>55.26</v>
      </c>
      <c r="Q24" s="809">
        <v>43</v>
      </c>
      <c r="R24" s="270">
        <f t="shared" si="6"/>
        <v>2.3761799999999997</v>
      </c>
      <c r="Y24" s="857"/>
    </row>
    <row r="25" spans="1:27" x14ac:dyDescent="0.2">
      <c r="A25" s="265" t="s">
        <v>282</v>
      </c>
      <c r="B25" s="860">
        <v>25.79</v>
      </c>
      <c r="C25" s="860">
        <f t="shared" si="8"/>
        <v>26.82</v>
      </c>
      <c r="D25" s="360">
        <v>40.19</v>
      </c>
      <c r="E25" s="360">
        <v>48.49</v>
      </c>
      <c r="F25" s="360">
        <f t="shared" si="7"/>
        <v>44.289380000000001</v>
      </c>
      <c r="G25" s="809">
        <v>8</v>
      </c>
      <c r="H25" s="270">
        <f t="shared" si="2"/>
        <v>0.35431504000000003</v>
      </c>
      <c r="I25" s="270">
        <f t="shared" si="3"/>
        <v>44.289380000000001</v>
      </c>
      <c r="J25" s="809">
        <v>12</v>
      </c>
      <c r="K25" s="270">
        <f t="shared" si="4"/>
        <v>0.53147256000000009</v>
      </c>
      <c r="L25" s="265" t="s">
        <v>282</v>
      </c>
      <c r="M25" s="360">
        <v>40.19</v>
      </c>
      <c r="N25" s="809">
        <v>8</v>
      </c>
      <c r="O25" s="270">
        <f t="shared" si="5"/>
        <v>0.32151999999999997</v>
      </c>
      <c r="P25" s="270">
        <f t="shared" si="1"/>
        <v>40.19</v>
      </c>
      <c r="Q25" s="809">
        <v>12</v>
      </c>
      <c r="R25" s="270">
        <f t="shared" si="6"/>
        <v>0.48227999999999999</v>
      </c>
      <c r="Y25" s="857"/>
    </row>
    <row r="26" spans="1:27" x14ac:dyDescent="0.2">
      <c r="A26" s="265" t="s">
        <v>728</v>
      </c>
      <c r="B26" s="860">
        <v>23.09</v>
      </c>
      <c r="C26" s="860">
        <f t="shared" si="8"/>
        <v>24.01</v>
      </c>
      <c r="D26" s="360">
        <v>31.71</v>
      </c>
      <c r="E26" s="360">
        <v>36.14</v>
      </c>
      <c r="F26" s="360">
        <f t="shared" si="7"/>
        <v>34.944420000000001</v>
      </c>
      <c r="G26" s="809">
        <v>25</v>
      </c>
      <c r="H26" s="270">
        <f t="shared" si="2"/>
        <v>0.87361049999999996</v>
      </c>
      <c r="I26" s="270">
        <f t="shared" si="3"/>
        <v>34.944420000000001</v>
      </c>
      <c r="J26" s="809">
        <v>29</v>
      </c>
      <c r="K26" s="270">
        <f t="shared" si="4"/>
        <v>1.01338818</v>
      </c>
      <c r="L26" s="265" t="s">
        <v>728</v>
      </c>
      <c r="M26" s="360">
        <v>31.71</v>
      </c>
      <c r="N26" s="809">
        <v>25</v>
      </c>
      <c r="O26" s="270">
        <f t="shared" si="5"/>
        <v>0.79274999999999995</v>
      </c>
      <c r="P26" s="270">
        <f t="shared" si="1"/>
        <v>31.71</v>
      </c>
      <c r="Q26" s="809">
        <v>29</v>
      </c>
      <c r="R26" s="270">
        <f t="shared" si="6"/>
        <v>0.91959000000000002</v>
      </c>
      <c r="Y26" s="857"/>
    </row>
    <row r="27" spans="1:27" x14ac:dyDescent="0.2">
      <c r="A27" s="265" t="s">
        <v>729</v>
      </c>
      <c r="B27" s="860">
        <v>358.94</v>
      </c>
      <c r="C27" s="860">
        <f t="shared" si="8"/>
        <v>373.3</v>
      </c>
      <c r="D27" s="360">
        <v>421</v>
      </c>
      <c r="E27" s="360">
        <v>505.81</v>
      </c>
      <c r="F27" s="360">
        <f t="shared" si="7"/>
        <v>463.94200000000006</v>
      </c>
      <c r="G27" s="809">
        <v>18</v>
      </c>
      <c r="H27" s="270">
        <f t="shared" si="2"/>
        <v>8.3509560000000018</v>
      </c>
      <c r="I27" s="270">
        <f t="shared" si="3"/>
        <v>463.94200000000006</v>
      </c>
      <c r="J27" s="809">
        <v>21</v>
      </c>
      <c r="K27" s="270">
        <f t="shared" si="4"/>
        <v>9.7427820000000018</v>
      </c>
      <c r="L27" s="265" t="s">
        <v>729</v>
      </c>
      <c r="M27" s="360">
        <v>421</v>
      </c>
      <c r="N27" s="809">
        <v>18</v>
      </c>
      <c r="O27" s="270">
        <f t="shared" si="5"/>
        <v>7.5780000000000003</v>
      </c>
      <c r="P27" s="270">
        <f t="shared" si="1"/>
        <v>421</v>
      </c>
      <c r="Q27" s="809">
        <v>21</v>
      </c>
      <c r="R27" s="270">
        <f t="shared" si="6"/>
        <v>8.8409999999999993</v>
      </c>
      <c r="Y27" s="857"/>
    </row>
    <row r="28" spans="1:27" x14ac:dyDescent="0.2">
      <c r="A28" s="265" t="s">
        <v>283</v>
      </c>
      <c r="B28" s="860">
        <v>83.33</v>
      </c>
      <c r="C28" s="860">
        <f t="shared" si="8"/>
        <v>86.66</v>
      </c>
      <c r="D28" s="360">
        <v>90.14</v>
      </c>
      <c r="E28" s="360">
        <v>118.06</v>
      </c>
      <c r="F28" s="360">
        <f t="shared" si="7"/>
        <v>99.334280000000007</v>
      </c>
      <c r="G28" s="809">
        <v>9</v>
      </c>
      <c r="H28" s="270">
        <f t="shared" si="2"/>
        <v>0.89400852000000008</v>
      </c>
      <c r="I28" s="270">
        <f t="shared" si="3"/>
        <v>99.334280000000007</v>
      </c>
      <c r="J28" s="809">
        <v>11</v>
      </c>
      <c r="K28" s="270">
        <f t="shared" si="4"/>
        <v>1.0926770800000001</v>
      </c>
      <c r="L28" s="265" t="s">
        <v>283</v>
      </c>
      <c r="M28" s="360">
        <v>90.14</v>
      </c>
      <c r="N28" s="809">
        <v>9</v>
      </c>
      <c r="O28" s="270">
        <f t="shared" si="5"/>
        <v>0.81125999999999998</v>
      </c>
      <c r="P28" s="270">
        <f t="shared" si="1"/>
        <v>90.14</v>
      </c>
      <c r="Q28" s="809">
        <v>11</v>
      </c>
      <c r="R28" s="270">
        <f t="shared" si="6"/>
        <v>0.99153999999999998</v>
      </c>
      <c r="Y28" s="857"/>
    </row>
    <row r="29" spans="1:27" x14ac:dyDescent="0.2">
      <c r="A29" s="265" t="s">
        <v>124</v>
      </c>
      <c r="B29" s="860">
        <v>115.62</v>
      </c>
      <c r="C29" s="860">
        <f t="shared" si="8"/>
        <v>120.24</v>
      </c>
      <c r="D29" s="360">
        <v>134.65</v>
      </c>
      <c r="E29" s="360">
        <v>163.22</v>
      </c>
      <c r="F29" s="360">
        <f t="shared" si="7"/>
        <v>148.38430000000002</v>
      </c>
      <c r="G29" s="809">
        <v>12</v>
      </c>
      <c r="H29" s="270">
        <f t="shared" si="2"/>
        <v>1.7806116000000001</v>
      </c>
      <c r="I29" s="270">
        <f t="shared" si="3"/>
        <v>148.38430000000002</v>
      </c>
      <c r="J29" s="809">
        <v>20</v>
      </c>
      <c r="K29" s="270">
        <f t="shared" si="4"/>
        <v>2.9676860000000005</v>
      </c>
      <c r="L29" s="265" t="s">
        <v>124</v>
      </c>
      <c r="M29" s="360">
        <v>134.65</v>
      </c>
      <c r="N29" s="809">
        <v>12</v>
      </c>
      <c r="O29" s="270">
        <f t="shared" si="5"/>
        <v>1.6158000000000001</v>
      </c>
      <c r="P29" s="270">
        <f t="shared" si="1"/>
        <v>134.65</v>
      </c>
      <c r="Q29" s="809">
        <v>20</v>
      </c>
      <c r="R29" s="270">
        <f t="shared" si="6"/>
        <v>2.6930000000000001</v>
      </c>
      <c r="Y29" s="857"/>
    </row>
    <row r="30" spans="1:27" x14ac:dyDescent="0.2">
      <c r="A30" s="265" t="s">
        <v>730</v>
      </c>
      <c r="B30" s="860">
        <v>800.52</v>
      </c>
      <c r="C30" s="860">
        <f t="shared" si="8"/>
        <v>832.54</v>
      </c>
      <c r="D30" s="360">
        <v>721.22</v>
      </c>
      <c r="E30" s="360">
        <v>557.82000000000005</v>
      </c>
      <c r="F30" s="360">
        <f t="shared" si="7"/>
        <v>794.78444000000013</v>
      </c>
      <c r="G30" s="809">
        <v>0.5</v>
      </c>
      <c r="H30" s="270">
        <f t="shared" si="2"/>
        <v>0.39739222000000007</v>
      </c>
      <c r="I30" s="270">
        <f t="shared" si="3"/>
        <v>794.78444000000013</v>
      </c>
      <c r="J30" s="809">
        <v>0.6</v>
      </c>
      <c r="K30" s="270">
        <f t="shared" si="4"/>
        <v>0.47687066400000006</v>
      </c>
      <c r="L30" s="265" t="s">
        <v>730</v>
      </c>
      <c r="M30" s="360">
        <v>721.22</v>
      </c>
      <c r="N30" s="809">
        <v>0.5</v>
      </c>
      <c r="O30" s="270">
        <f t="shared" si="5"/>
        <v>0.36060999999999999</v>
      </c>
      <c r="P30" s="270">
        <f t="shared" si="1"/>
        <v>721.22</v>
      </c>
      <c r="Q30" s="809">
        <v>0.6</v>
      </c>
      <c r="R30" s="270">
        <f t="shared" si="6"/>
        <v>0.43273200000000001</v>
      </c>
      <c r="Y30" s="857"/>
    </row>
    <row r="31" spans="1:27" x14ac:dyDescent="0.2">
      <c r="A31" s="265" t="s">
        <v>125</v>
      </c>
      <c r="B31" s="860">
        <v>449.15</v>
      </c>
      <c r="C31" s="860">
        <f t="shared" si="8"/>
        <v>467.12</v>
      </c>
      <c r="D31" s="360">
        <v>455.96</v>
      </c>
      <c r="E31" s="360">
        <v>444.25</v>
      </c>
      <c r="F31" s="360">
        <f t="shared" si="7"/>
        <v>502.46791999999999</v>
      </c>
      <c r="G31" s="809">
        <v>0.5</v>
      </c>
      <c r="H31" s="270">
        <f t="shared" si="2"/>
        <v>0.25123395999999998</v>
      </c>
      <c r="I31" s="270">
        <f t="shared" si="3"/>
        <v>502.46791999999999</v>
      </c>
      <c r="J31" s="809">
        <v>0.6</v>
      </c>
      <c r="K31" s="270">
        <f t="shared" si="4"/>
        <v>0.30148075200000002</v>
      </c>
      <c r="L31" s="265" t="s">
        <v>125</v>
      </c>
      <c r="M31" s="360">
        <v>455.96</v>
      </c>
      <c r="N31" s="809">
        <v>0.5</v>
      </c>
      <c r="O31" s="270">
        <f t="shared" si="5"/>
        <v>0.22797999999999999</v>
      </c>
      <c r="P31" s="270">
        <f t="shared" si="1"/>
        <v>455.96</v>
      </c>
      <c r="Q31" s="809">
        <v>0.6</v>
      </c>
      <c r="R31" s="270">
        <f t="shared" si="6"/>
        <v>0.27357599999999999</v>
      </c>
      <c r="Y31" s="857"/>
    </row>
    <row r="32" spans="1:27" x14ac:dyDescent="0.2">
      <c r="A32" s="265" t="s">
        <v>284</v>
      </c>
      <c r="B32" s="860">
        <v>393.7</v>
      </c>
      <c r="C32" s="860">
        <f t="shared" si="8"/>
        <v>409.45</v>
      </c>
      <c r="D32" s="360">
        <v>407.39</v>
      </c>
      <c r="E32" s="360">
        <v>352.48</v>
      </c>
      <c r="F32" s="360">
        <f t="shared" si="7"/>
        <v>448.94378</v>
      </c>
      <c r="G32" s="809">
        <v>1</v>
      </c>
      <c r="H32" s="270">
        <f t="shared" si="2"/>
        <v>0.44894378000000001</v>
      </c>
      <c r="I32" s="270">
        <f t="shared" si="3"/>
        <v>448.94378</v>
      </c>
      <c r="J32" s="809">
        <v>1.2</v>
      </c>
      <c r="K32" s="270">
        <f t="shared" si="4"/>
        <v>0.53873253599999993</v>
      </c>
      <c r="L32" s="265" t="s">
        <v>284</v>
      </c>
      <c r="M32" s="360">
        <v>407.39</v>
      </c>
      <c r="N32" s="809">
        <v>1</v>
      </c>
      <c r="O32" s="270">
        <f t="shared" si="5"/>
        <v>0.40738999999999997</v>
      </c>
      <c r="P32" s="270">
        <f t="shared" si="1"/>
        <v>407.39</v>
      </c>
      <c r="Q32" s="809">
        <v>1.2</v>
      </c>
      <c r="R32" s="270">
        <f t="shared" si="6"/>
        <v>0.48886799999999991</v>
      </c>
      <c r="Y32" s="857"/>
    </row>
    <row r="33" spans="1:25" x14ac:dyDescent="0.2">
      <c r="A33" s="265" t="s">
        <v>127</v>
      </c>
      <c r="B33" s="860">
        <v>40.29</v>
      </c>
      <c r="C33" s="860">
        <f t="shared" si="8"/>
        <v>41.9</v>
      </c>
      <c r="D33" s="360">
        <v>45.61</v>
      </c>
      <c r="E33" s="360">
        <v>64.72</v>
      </c>
      <c r="F33" s="360">
        <f t="shared" si="7"/>
        <v>50.262220000000006</v>
      </c>
      <c r="G33" s="809">
        <v>25</v>
      </c>
      <c r="H33" s="270">
        <f t="shared" si="2"/>
        <v>1.2565555000000002</v>
      </c>
      <c r="I33" s="270">
        <f t="shared" si="3"/>
        <v>50.262220000000006</v>
      </c>
      <c r="J33" s="809">
        <v>30</v>
      </c>
      <c r="K33" s="270">
        <f t="shared" si="4"/>
        <v>1.5078666000000003</v>
      </c>
      <c r="L33" s="265" t="s">
        <v>127</v>
      </c>
      <c r="M33" s="360">
        <v>45.61</v>
      </c>
      <c r="N33" s="809">
        <v>25</v>
      </c>
      <c r="O33" s="270">
        <f t="shared" si="5"/>
        <v>1.14025</v>
      </c>
      <c r="P33" s="270">
        <f t="shared" si="1"/>
        <v>45.61</v>
      </c>
      <c r="Q33" s="809">
        <v>30</v>
      </c>
      <c r="R33" s="270">
        <f t="shared" si="6"/>
        <v>1.3682999999999998</v>
      </c>
      <c r="Y33" s="857"/>
    </row>
    <row r="34" spans="1:25" ht="25.5" x14ac:dyDescent="0.2">
      <c r="A34" s="265" t="s">
        <v>126</v>
      </c>
      <c r="B34" s="860">
        <v>124.85</v>
      </c>
      <c r="C34" s="860">
        <f t="shared" si="8"/>
        <v>129.84</v>
      </c>
      <c r="D34" s="360">
        <v>127.93</v>
      </c>
      <c r="E34" s="360">
        <v>131.04</v>
      </c>
      <c r="F34" s="360">
        <f t="shared" si="7"/>
        <v>140.97886000000003</v>
      </c>
      <c r="G34" s="809">
        <v>0.4</v>
      </c>
      <c r="H34" s="270">
        <f t="shared" si="2"/>
        <v>5.6391544000000009E-2</v>
      </c>
      <c r="I34" s="270">
        <f t="shared" si="3"/>
        <v>140.97886000000003</v>
      </c>
      <c r="J34" s="809">
        <v>0.5</v>
      </c>
      <c r="K34" s="270">
        <f t="shared" si="4"/>
        <v>7.048943000000002E-2</v>
      </c>
      <c r="L34" s="265" t="s">
        <v>126</v>
      </c>
      <c r="M34" s="360">
        <v>127.93</v>
      </c>
      <c r="N34" s="809">
        <v>0.4</v>
      </c>
      <c r="O34" s="270">
        <f t="shared" si="5"/>
        <v>5.1172000000000002E-2</v>
      </c>
      <c r="P34" s="270">
        <f t="shared" si="1"/>
        <v>127.93</v>
      </c>
      <c r="Q34" s="809">
        <v>0.5</v>
      </c>
      <c r="R34" s="270">
        <f t="shared" si="6"/>
        <v>6.3965000000000008E-2</v>
      </c>
      <c r="Y34" s="857"/>
    </row>
    <row r="35" spans="1:25" x14ac:dyDescent="0.2">
      <c r="A35" s="265" t="s">
        <v>731</v>
      </c>
      <c r="B35" s="860">
        <v>149.52000000000001</v>
      </c>
      <c r="C35" s="860">
        <f t="shared" si="8"/>
        <v>155.5</v>
      </c>
      <c r="D35" s="360">
        <v>88.67</v>
      </c>
      <c r="E35" s="360">
        <v>99.5</v>
      </c>
      <c r="F35" s="360">
        <f t="shared" si="7"/>
        <v>97.714340000000007</v>
      </c>
      <c r="G35" s="809">
        <v>2</v>
      </c>
      <c r="H35" s="270">
        <f t="shared" si="2"/>
        <v>0.19542868000000002</v>
      </c>
      <c r="I35" s="270">
        <f t="shared" si="3"/>
        <v>97.714340000000007</v>
      </c>
      <c r="J35" s="809">
        <v>3</v>
      </c>
      <c r="K35" s="270">
        <f t="shared" si="4"/>
        <v>0.29314302000000003</v>
      </c>
      <c r="L35" s="265" t="s">
        <v>731</v>
      </c>
      <c r="M35" s="360">
        <v>88.67</v>
      </c>
      <c r="N35" s="809">
        <v>2</v>
      </c>
      <c r="O35" s="270">
        <f t="shared" si="5"/>
        <v>0.17734</v>
      </c>
      <c r="P35" s="270">
        <f t="shared" si="1"/>
        <v>88.67</v>
      </c>
      <c r="Q35" s="809">
        <v>3</v>
      </c>
      <c r="R35" s="270">
        <f t="shared" si="6"/>
        <v>0.26600999999999997</v>
      </c>
      <c r="Y35" s="857"/>
    </row>
    <row r="36" spans="1:25" ht="38.25" x14ac:dyDescent="0.2">
      <c r="A36" s="265" t="s">
        <v>732</v>
      </c>
      <c r="B36" s="860">
        <v>12.56</v>
      </c>
      <c r="C36" s="860">
        <f t="shared" si="8"/>
        <v>13.06</v>
      </c>
      <c r="D36" s="360">
        <v>14.57</v>
      </c>
      <c r="E36" s="360">
        <v>17.829999999999998</v>
      </c>
      <c r="F36" s="360">
        <f t="shared" si="7"/>
        <v>16.056140000000003</v>
      </c>
      <c r="G36" s="810">
        <v>3</v>
      </c>
      <c r="H36" s="270">
        <f t="shared" si="2"/>
        <v>4.816842000000001E-2</v>
      </c>
      <c r="I36" s="270">
        <f t="shared" si="3"/>
        <v>16.056140000000003</v>
      </c>
      <c r="J36" s="810">
        <v>5</v>
      </c>
      <c r="K36" s="270">
        <f t="shared" si="4"/>
        <v>8.028070000000001E-2</v>
      </c>
      <c r="L36" s="265" t="s">
        <v>732</v>
      </c>
      <c r="M36" s="360">
        <v>14.57</v>
      </c>
      <c r="N36" s="810">
        <v>3</v>
      </c>
      <c r="O36" s="270">
        <f t="shared" si="5"/>
        <v>4.3709999999999999E-2</v>
      </c>
      <c r="P36" s="270">
        <f t="shared" si="1"/>
        <v>14.57</v>
      </c>
      <c r="Q36" s="810">
        <v>5</v>
      </c>
      <c r="R36" s="270">
        <f>P36*Q36/1000</f>
        <v>7.2849999999999998E-2</v>
      </c>
      <c r="Y36" s="857"/>
    </row>
    <row r="37" spans="1:25" x14ac:dyDescent="0.2">
      <c r="A37" s="268" t="s">
        <v>285</v>
      </c>
      <c r="B37" s="268"/>
      <c r="C37" s="268"/>
      <c r="D37" s="268"/>
      <c r="E37" s="268"/>
      <c r="F37" s="275"/>
      <c r="G37" s="274">
        <f>SUM(G7:G36)</f>
        <v>1294.4000000000001</v>
      </c>
      <c r="H37" s="270">
        <f>SUM(H7:H36)</f>
        <v>118.28750306400001</v>
      </c>
      <c r="I37" s="275"/>
      <c r="J37" s="274">
        <f>SUM(J7:J36)</f>
        <v>1576.8999999999999</v>
      </c>
      <c r="K37" s="270">
        <f>SUM(K7:K36)</f>
        <v>140.26818130200004</v>
      </c>
      <c r="L37" s="268" t="s">
        <v>285</v>
      </c>
      <c r="M37" s="275"/>
      <c r="N37" s="274">
        <f>SUM(N7:N36)</f>
        <v>1294.4000000000001</v>
      </c>
      <c r="O37" s="270">
        <f>SUM(O7:O36)</f>
        <v>107.33893200000001</v>
      </c>
      <c r="P37" s="275"/>
      <c r="Q37" s="274">
        <f>SUM(Q7:Q36)</f>
        <v>1576.8999999999999</v>
      </c>
      <c r="R37" s="270">
        <f>SUM(R7:R36)</f>
        <v>127.285101</v>
      </c>
      <c r="Y37" s="857"/>
    </row>
    <row r="38" spans="1:25" x14ac:dyDescent="0.2">
      <c r="A38" s="268" t="s">
        <v>144</v>
      </c>
      <c r="B38" s="268"/>
      <c r="C38" s="268"/>
      <c r="D38" s="268"/>
      <c r="E38" s="268"/>
      <c r="F38" s="275"/>
      <c r="G38" s="274"/>
      <c r="H38" s="280">
        <v>247</v>
      </c>
      <c r="I38" s="603"/>
      <c r="J38" s="274"/>
      <c r="K38" s="280">
        <v>247</v>
      </c>
      <c r="L38" s="268" t="s">
        <v>144</v>
      </c>
      <c r="M38" s="275"/>
      <c r="N38" s="274"/>
      <c r="O38" s="280">
        <v>247</v>
      </c>
      <c r="P38" s="603"/>
      <c r="Q38" s="274"/>
      <c r="R38" s="280">
        <v>247</v>
      </c>
    </row>
    <row r="39" spans="1:25" x14ac:dyDescent="0.2">
      <c r="A39" s="269" t="s">
        <v>286</v>
      </c>
      <c r="B39" s="269"/>
      <c r="C39" s="269"/>
      <c r="D39" s="269"/>
      <c r="E39" s="269"/>
      <c r="F39" s="275"/>
      <c r="G39" s="494">
        <f>G37*H38</f>
        <v>319716.80000000005</v>
      </c>
      <c r="H39" s="270">
        <f>H37*H38</f>
        <v>29217.013256808001</v>
      </c>
      <c r="I39" s="494">
        <f>I37*H38</f>
        <v>0</v>
      </c>
      <c r="J39" s="274" t="s">
        <v>292</v>
      </c>
      <c r="K39" s="270">
        <f>K37*K38</f>
        <v>34646.24078159401</v>
      </c>
      <c r="L39" s="269" t="s">
        <v>286</v>
      </c>
      <c r="M39" s="275"/>
      <c r="N39" s="494">
        <f>N37*O38</f>
        <v>319716.80000000005</v>
      </c>
      <c r="O39" s="270">
        <f>O37*O38</f>
        <v>26512.716204000004</v>
      </c>
      <c r="P39" s="494">
        <f>P37*O38</f>
        <v>0</v>
      </c>
      <c r="Q39" s="274" t="s">
        <v>292</v>
      </c>
      <c r="R39" s="270">
        <f>R37*R38</f>
        <v>31439.419946999999</v>
      </c>
    </row>
    <row r="40" spans="1:25" s="278" customFormat="1" x14ac:dyDescent="0.2">
      <c r="F40" s="284"/>
      <c r="G40" s="956">
        <f>ROUND(H37,0)</f>
        <v>118</v>
      </c>
      <c r="H40" s="954">
        <f>G40*H38</f>
        <v>29146</v>
      </c>
      <c r="I40" s="285"/>
      <c r="J40" s="956">
        <f>ROUND(K37,0)</f>
        <v>140</v>
      </c>
      <c r="K40" s="954">
        <f>J40*K38</f>
        <v>34580</v>
      </c>
      <c r="M40" s="284"/>
      <c r="N40" s="967">
        <f>ROUND(O37,0)</f>
        <v>107</v>
      </c>
      <c r="O40" s="968">
        <f>N40*O38</f>
        <v>26429</v>
      </c>
      <c r="P40" s="285"/>
      <c r="Q40" s="967">
        <f>ROUND(R37,0)</f>
        <v>127</v>
      </c>
      <c r="R40" s="968">
        <f>Q40*R38</f>
        <v>31369</v>
      </c>
    </row>
    <row r="41" spans="1:25" x14ac:dyDescent="0.2">
      <c r="G41" s="276">
        <v>107</v>
      </c>
      <c r="J41" s="276">
        <v>127</v>
      </c>
      <c r="L41" s="955"/>
      <c r="M41" s="955"/>
      <c r="N41" s="955"/>
      <c r="O41" s="955"/>
      <c r="P41" s="955"/>
      <c r="Q41" s="955"/>
    </row>
    <row r="42" spans="1:25" ht="15" customHeight="1" x14ac:dyDescent="0.2">
      <c r="B42" s="1203" t="s">
        <v>746</v>
      </c>
      <c r="C42" s="1203"/>
      <c r="D42" s="1203"/>
      <c r="E42" s="1203"/>
      <c r="F42" s="1203"/>
      <c r="G42" s="276">
        <v>121</v>
      </c>
      <c r="J42" s="276">
        <v>146</v>
      </c>
      <c r="L42" s="955"/>
      <c r="M42" s="955"/>
      <c r="N42" s="955"/>
      <c r="O42" s="955"/>
      <c r="P42" s="955"/>
      <c r="Q42" s="955"/>
    </row>
    <row r="43" spans="1:25" ht="26.25" customHeight="1" x14ac:dyDescent="0.2">
      <c r="A43" s="279"/>
      <c r="B43" s="279"/>
      <c r="C43" s="279"/>
      <c r="D43" s="279"/>
      <c r="E43" s="279"/>
      <c r="F43" s="847"/>
      <c r="G43" s="848">
        <f>G41-G40</f>
        <v>-11</v>
      </c>
      <c r="H43" s="847"/>
      <c r="I43" s="273"/>
      <c r="J43" s="848">
        <f>J41-J40</f>
        <v>-13</v>
      </c>
      <c r="K43" s="277"/>
      <c r="L43" s="955"/>
      <c r="M43" s="955"/>
      <c r="N43" s="955"/>
      <c r="O43" s="955"/>
      <c r="P43" s="955"/>
      <c r="Q43" s="955"/>
    </row>
    <row r="44" spans="1:25" x14ac:dyDescent="0.2">
      <c r="A44" s="278"/>
      <c r="B44" s="278"/>
      <c r="C44" s="278"/>
      <c r="D44" s="278"/>
      <c r="E44" s="278"/>
      <c r="F44" s="277"/>
      <c r="G44" s="871">
        <f>G40-G42</f>
        <v>-3</v>
      </c>
      <c r="H44" s="871"/>
      <c r="I44" s="871"/>
      <c r="J44" s="871">
        <f>J40-J42</f>
        <v>-6</v>
      </c>
      <c r="K44" s="273"/>
    </row>
    <row r="45" spans="1:25" x14ac:dyDescent="0.2">
      <c r="A45" s="278"/>
      <c r="B45" s="278"/>
      <c r="C45" s="278"/>
      <c r="D45" s="278"/>
      <c r="E45" s="278"/>
      <c r="F45" s="278"/>
      <c r="G45" s="278"/>
      <c r="H45" s="278"/>
      <c r="I45" s="273"/>
      <c r="J45" s="273"/>
      <c r="K45" s="273"/>
    </row>
  </sheetData>
  <mergeCells count="11">
    <mergeCell ref="E2:E5"/>
    <mergeCell ref="F2:H3"/>
    <mergeCell ref="I2:K3"/>
    <mergeCell ref="B42:F42"/>
    <mergeCell ref="A1:K1"/>
    <mergeCell ref="F4:H4"/>
    <mergeCell ref="I4:K4"/>
    <mergeCell ref="A2:A6"/>
    <mergeCell ref="B2:B5"/>
    <mergeCell ref="C2:C5"/>
    <mergeCell ref="D2:D5"/>
  </mergeCells>
  <pageMargins left="0.75" right="0.75" top="1" bottom="1" header="0.5" footer="0.5"/>
  <pageSetup paperSize="9" scale="34" orientation="portrait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rgb="FFFF0000"/>
  </sheetPr>
  <dimension ref="A1:AJ32"/>
  <sheetViews>
    <sheetView tabSelected="1" view="pageBreakPreview" topLeftCell="B1" zoomScale="86" zoomScaleNormal="90" zoomScaleSheetLayoutView="86" workbookViewId="0">
      <pane xSplit="1" ySplit="4" topLeftCell="S14" activePane="bottomRight" state="frozen"/>
      <selection activeCell="L30" sqref="L30"/>
      <selection pane="topRight" activeCell="L30" sqref="L30"/>
      <selection pane="bottomLeft" activeCell="L30" sqref="L30"/>
      <selection pane="bottomRight" activeCell="Z36" sqref="Z36"/>
    </sheetView>
  </sheetViews>
  <sheetFormatPr defaultColWidth="13.5703125" defaultRowHeight="12.75" x14ac:dyDescent="0.2"/>
  <cols>
    <col min="1" max="1" width="5.140625" style="8" customWidth="1"/>
    <col min="2" max="2" width="45.140625" style="8" customWidth="1"/>
    <col min="3" max="10" width="13.5703125" style="8"/>
    <col min="11" max="11" width="14.42578125" style="8" customWidth="1"/>
    <col min="12" max="17" width="13.5703125" style="8"/>
    <col min="18" max="18" width="16.5703125" style="8" customWidth="1"/>
    <col min="19" max="23" width="13.5703125" style="8"/>
    <col min="24" max="24" width="16.140625" style="8" customWidth="1"/>
    <col min="25" max="25" width="16.42578125" style="8" customWidth="1"/>
    <col min="26" max="33" width="13.5703125" style="8"/>
    <col min="34" max="34" width="15.85546875" style="8" customWidth="1"/>
    <col min="35" max="16384" width="13.5703125" style="8"/>
  </cols>
  <sheetData>
    <row r="1" spans="1:36" ht="30.6" customHeight="1" x14ac:dyDescent="0.2">
      <c r="A1" s="283"/>
      <c r="B1" s="283"/>
      <c r="C1" s="283"/>
      <c r="D1" s="283"/>
      <c r="E1" s="1205" t="s">
        <v>752</v>
      </c>
      <c r="F1" s="1206"/>
      <c r="G1" s="1206"/>
      <c r="H1" s="1206"/>
      <c r="I1" s="1206"/>
      <c r="J1" s="1206"/>
      <c r="K1" s="283"/>
      <c r="L1" s="283"/>
      <c r="M1" s="283"/>
      <c r="T1" s="1204" t="s">
        <v>753</v>
      </c>
      <c r="U1" s="1204"/>
      <c r="V1" s="1204"/>
      <c r="W1" s="1204"/>
      <c r="X1" s="1204"/>
      <c r="Y1" s="1204"/>
      <c r="Z1" s="1204"/>
      <c r="AA1" s="1204"/>
      <c r="AB1" s="971"/>
      <c r="AC1" s="971"/>
      <c r="AD1" s="971"/>
      <c r="AE1" s="971"/>
      <c r="AF1" s="971"/>
      <c r="AG1" s="971"/>
      <c r="AH1" s="971"/>
      <c r="AI1" s="971"/>
    </row>
    <row r="2" spans="1:36" ht="30" customHeight="1" x14ac:dyDescent="0.2">
      <c r="A2" s="1207" t="s">
        <v>0</v>
      </c>
      <c r="B2" s="1207" t="s">
        <v>132</v>
      </c>
      <c r="C2" s="1215" t="s">
        <v>750</v>
      </c>
      <c r="D2" s="1216"/>
      <c r="E2" s="1216"/>
      <c r="F2" s="1216"/>
      <c r="G2" s="1216"/>
      <c r="H2" s="1211"/>
      <c r="I2" s="1217" t="s">
        <v>175</v>
      </c>
      <c r="J2" s="1218"/>
      <c r="K2" s="1212" t="s">
        <v>6</v>
      </c>
      <c r="L2" s="1213"/>
      <c r="M2" s="1213"/>
      <c r="N2" s="1213"/>
      <c r="O2" s="1213"/>
      <c r="P2" s="1213"/>
      <c r="Q2" s="1214"/>
      <c r="T2" s="972" t="s">
        <v>750</v>
      </c>
      <c r="U2" s="972"/>
      <c r="V2" s="972"/>
      <c r="W2" s="972"/>
      <c r="X2" s="972"/>
      <c r="Y2" s="972"/>
      <c r="Z2" s="1217" t="s">
        <v>175</v>
      </c>
      <c r="AA2" s="1218"/>
      <c r="AB2" s="971"/>
      <c r="AC2" s="971"/>
      <c r="AD2" s="971"/>
      <c r="AE2" s="971"/>
      <c r="AF2" s="971"/>
      <c r="AG2" s="971"/>
      <c r="AH2" s="971"/>
      <c r="AI2" s="971"/>
    </row>
    <row r="3" spans="1:36" ht="29.45" customHeight="1" x14ac:dyDescent="0.2">
      <c r="A3" s="1207"/>
      <c r="B3" s="1207"/>
      <c r="C3" s="1210" t="s">
        <v>293</v>
      </c>
      <c r="D3" s="1211"/>
      <c r="E3" s="1210" t="s">
        <v>294</v>
      </c>
      <c r="F3" s="1211"/>
      <c r="G3" s="1210" t="s">
        <v>295</v>
      </c>
      <c r="H3" s="1211"/>
      <c r="I3" s="1219"/>
      <c r="J3" s="1220"/>
      <c r="K3" s="1210" t="s">
        <v>293</v>
      </c>
      <c r="L3" s="1211"/>
      <c r="M3" s="1210" t="s">
        <v>294</v>
      </c>
      <c r="N3" s="1211"/>
      <c r="O3" s="1210" t="s">
        <v>295</v>
      </c>
      <c r="P3" s="1211"/>
      <c r="Q3" s="1208" t="s">
        <v>1</v>
      </c>
      <c r="T3" s="972" t="s">
        <v>293</v>
      </c>
      <c r="U3" s="972"/>
      <c r="V3" s="972" t="s">
        <v>294</v>
      </c>
      <c r="W3" s="972"/>
      <c r="X3" s="972" t="s">
        <v>295</v>
      </c>
      <c r="Y3" s="972"/>
      <c r="Z3" s="1219"/>
      <c r="AA3" s="1220"/>
      <c r="AB3" s="1210" t="s">
        <v>293</v>
      </c>
      <c r="AC3" s="1211"/>
      <c r="AD3" s="1210" t="s">
        <v>294</v>
      </c>
      <c r="AE3" s="1211"/>
      <c r="AF3" s="1210" t="s">
        <v>295</v>
      </c>
      <c r="AG3" s="1211"/>
      <c r="AH3" s="1208" t="s">
        <v>1</v>
      </c>
      <c r="AI3" s="971"/>
    </row>
    <row r="4" spans="1:36" ht="27" customHeight="1" x14ac:dyDescent="0.2">
      <c r="A4" s="991"/>
      <c r="B4" s="991"/>
      <c r="C4" s="237" t="s">
        <v>261</v>
      </c>
      <c r="D4" s="237" t="s">
        <v>262</v>
      </c>
      <c r="E4" s="237" t="s">
        <v>261</v>
      </c>
      <c r="F4" s="237" t="s">
        <v>262</v>
      </c>
      <c r="G4" s="237" t="s">
        <v>261</v>
      </c>
      <c r="H4" s="237" t="s">
        <v>262</v>
      </c>
      <c r="I4" s="237" t="s">
        <v>261</v>
      </c>
      <c r="J4" s="237" t="s">
        <v>262</v>
      </c>
      <c r="K4" s="237" t="s">
        <v>261</v>
      </c>
      <c r="L4" s="237" t="s">
        <v>262</v>
      </c>
      <c r="M4" s="237" t="s">
        <v>261</v>
      </c>
      <c r="N4" s="237" t="s">
        <v>262</v>
      </c>
      <c r="O4" s="237" t="s">
        <v>261</v>
      </c>
      <c r="P4" s="237" t="s">
        <v>262</v>
      </c>
      <c r="Q4" s="1209"/>
      <c r="R4" s="8" t="s">
        <v>751</v>
      </c>
      <c r="T4" s="972" t="s">
        <v>261</v>
      </c>
      <c r="U4" s="972" t="s">
        <v>262</v>
      </c>
      <c r="V4" s="972" t="s">
        <v>261</v>
      </c>
      <c r="W4" s="972" t="s">
        <v>262</v>
      </c>
      <c r="X4" s="972" t="s">
        <v>261</v>
      </c>
      <c r="Y4" s="972" t="s">
        <v>262</v>
      </c>
      <c r="Z4" s="965" t="s">
        <v>261</v>
      </c>
      <c r="AA4" s="965" t="s">
        <v>262</v>
      </c>
      <c r="AB4" s="965" t="s">
        <v>261</v>
      </c>
      <c r="AC4" s="965" t="s">
        <v>262</v>
      </c>
      <c r="AD4" s="965" t="s">
        <v>261</v>
      </c>
      <c r="AE4" s="965" t="s">
        <v>262</v>
      </c>
      <c r="AF4" s="965" t="s">
        <v>261</v>
      </c>
      <c r="AG4" s="965" t="s">
        <v>262</v>
      </c>
      <c r="AH4" s="1209"/>
      <c r="AI4" s="971" t="s">
        <v>751</v>
      </c>
    </row>
    <row r="5" spans="1:36" ht="13.15" customHeight="1" x14ac:dyDescent="0.2">
      <c r="A5" s="6">
        <v>1</v>
      </c>
      <c r="B5" s="811" t="str">
        <f>'Мягкий инвентарь'!A17</f>
        <v>МАДОУ ЦРР-детский сад № 2</v>
      </c>
      <c r="C5" s="812">
        <f>Численность!AF6+Численность!AH6</f>
        <v>64</v>
      </c>
      <c r="D5" s="812">
        <f>Численность!AG6+Численность!AI6+Численность!AJ6</f>
        <v>238</v>
      </c>
      <c r="E5" s="812">
        <f>Численность!AP6</f>
        <v>0</v>
      </c>
      <c r="F5" s="812">
        <f>Численность!AQ6</f>
        <v>33</v>
      </c>
      <c r="G5" s="812">
        <f>Численность!AK6+Численность!AM6</f>
        <v>0</v>
      </c>
      <c r="H5" s="812">
        <f>Численность!AL6+Численность!AN6+Численность!AO6</f>
        <v>2</v>
      </c>
      <c r="I5" s="813">
        <f>'Питание норматив'!$H$40</f>
        <v>29146</v>
      </c>
      <c r="J5" s="813">
        <f>'Питание норматив'!$K$40</f>
        <v>34580</v>
      </c>
      <c r="K5" s="813">
        <f>C5*I5</f>
        <v>1865344</v>
      </c>
      <c r="L5" s="813">
        <f>D5*J5</f>
        <v>8230040</v>
      </c>
      <c r="M5" s="813">
        <f t="shared" ref="M5:M13" si="0">E5*I5</f>
        <v>0</v>
      </c>
      <c r="N5" s="813">
        <f>F5*J5</f>
        <v>1141140</v>
      </c>
      <c r="O5" s="813">
        <f t="shared" ref="O5:O13" si="1">G5*I5</f>
        <v>0</v>
      </c>
      <c r="P5" s="813">
        <f t="shared" ref="P5:P13" si="2">H5*J5</f>
        <v>69160</v>
      </c>
      <c r="Q5" s="813">
        <f>K5+L5+M5+N5+O5+P5</f>
        <v>11305684</v>
      </c>
      <c r="R5" s="367">
        <f>'Родительская плата '!N6</f>
        <v>10665954</v>
      </c>
      <c r="S5" s="367">
        <f>Q5-R5</f>
        <v>639730</v>
      </c>
      <c r="T5" s="812">
        <f>C5</f>
        <v>64</v>
      </c>
      <c r="U5" s="812">
        <f t="shared" ref="U5:Y5" si="3">D5</f>
        <v>238</v>
      </c>
      <c r="V5" s="812">
        <f t="shared" si="3"/>
        <v>0</v>
      </c>
      <c r="W5" s="812">
        <f t="shared" si="3"/>
        <v>33</v>
      </c>
      <c r="X5" s="812">
        <f t="shared" si="3"/>
        <v>0</v>
      </c>
      <c r="Y5" s="812">
        <f t="shared" si="3"/>
        <v>2</v>
      </c>
      <c r="Z5" s="282">
        <f>'[1]Питание норматив'!$D$38</f>
        <v>26429</v>
      </c>
      <c r="AA5" s="282">
        <f>'[1]Питание норматив'!$G$38</f>
        <v>31369</v>
      </c>
      <c r="AB5" s="91">
        <f>T5*Z5</f>
        <v>1691456</v>
      </c>
      <c r="AC5" s="91">
        <f>U5*AA5</f>
        <v>7465822</v>
      </c>
      <c r="AD5" s="91">
        <f>V5*Z5</f>
        <v>0</v>
      </c>
      <c r="AE5" s="91">
        <f>W5*AA5</f>
        <v>1035177</v>
      </c>
      <c r="AF5" s="91">
        <f>X5*Z5</f>
        <v>0</v>
      </c>
      <c r="AG5" s="91">
        <f>Y5*AA5</f>
        <v>62738</v>
      </c>
      <c r="AH5" s="91">
        <f>AB5+AC5+AD5+AE5+AF5+AG5</f>
        <v>10255193</v>
      </c>
      <c r="AI5" s="974">
        <f>'Родительская плата '!U6</f>
        <v>9674867</v>
      </c>
      <c r="AJ5" s="367">
        <f>AH5-AI5</f>
        <v>580326</v>
      </c>
    </row>
    <row r="6" spans="1:36" s="9" customFormat="1" ht="13.15" customHeight="1" x14ac:dyDescent="0.2">
      <c r="A6" s="6">
        <v>2</v>
      </c>
      <c r="B6" s="811" t="str">
        <f>'Мягкий инвентарь'!A18</f>
        <v>МАДОУ ЦРР-детский сад № 11</v>
      </c>
      <c r="C6" s="812">
        <f>Численность!AF7+Численность!AH7</f>
        <v>61</v>
      </c>
      <c r="D6" s="812">
        <f>Численность!AG7+Численность!AI7+Численность!AJ7</f>
        <v>250</v>
      </c>
      <c r="E6" s="812">
        <f>Численность!AP7</f>
        <v>0</v>
      </c>
      <c r="F6" s="812">
        <f>Численность!AQ7</f>
        <v>58</v>
      </c>
      <c r="G6" s="812">
        <f>Численность!AK7+Численность!AM7</f>
        <v>0</v>
      </c>
      <c r="H6" s="812">
        <f>Численность!AL7+Численность!AN7+Численность!AO7</f>
        <v>1</v>
      </c>
      <c r="I6" s="813">
        <f>'Питание норматив'!$H$40</f>
        <v>29146</v>
      </c>
      <c r="J6" s="813">
        <f>'Питание норматив'!$K$40</f>
        <v>34580</v>
      </c>
      <c r="K6" s="813">
        <f t="shared" ref="K6:K13" si="4">C6*I6</f>
        <v>1777906</v>
      </c>
      <c r="L6" s="813">
        <f t="shared" ref="L6:L13" si="5">D6*J6</f>
        <v>8645000</v>
      </c>
      <c r="M6" s="813">
        <f t="shared" si="0"/>
        <v>0</v>
      </c>
      <c r="N6" s="813">
        <f t="shared" ref="N6:N13" si="6">F6*J6</f>
        <v>2005640</v>
      </c>
      <c r="O6" s="813">
        <f t="shared" si="1"/>
        <v>0</v>
      </c>
      <c r="P6" s="813">
        <f t="shared" si="2"/>
        <v>34580</v>
      </c>
      <c r="Q6" s="813">
        <f t="shared" ref="Q6:Q13" si="7">K6+L6+M6+N6+O6+P6</f>
        <v>12463126</v>
      </c>
      <c r="R6" s="367">
        <f>'Родительская плата '!N7</f>
        <v>11425726</v>
      </c>
      <c r="S6" s="367">
        <f t="shared" ref="S6:S28" si="8">Q6-R6</f>
        <v>1037400</v>
      </c>
      <c r="T6" s="812">
        <f t="shared" ref="T6:T28" si="9">C6</f>
        <v>61</v>
      </c>
      <c r="U6" s="812">
        <f t="shared" ref="U6:U28" si="10">D6</f>
        <v>250</v>
      </c>
      <c r="V6" s="812">
        <f t="shared" ref="V6:V28" si="11">E6</f>
        <v>0</v>
      </c>
      <c r="W6" s="812">
        <f t="shared" ref="W6:W28" si="12">F6</f>
        <v>58</v>
      </c>
      <c r="X6" s="812">
        <f t="shared" ref="X6:X28" si="13">G6</f>
        <v>0</v>
      </c>
      <c r="Y6" s="812">
        <f t="shared" ref="Y6:Y28" si="14">H6</f>
        <v>1</v>
      </c>
      <c r="Z6" s="282">
        <f>'[1]Питание норматив'!$D$38</f>
        <v>26429</v>
      </c>
      <c r="AA6" s="282">
        <f>'[1]Питание норматив'!$G$38</f>
        <v>31369</v>
      </c>
      <c r="AB6" s="91">
        <f t="shared" ref="AB6:AB28" si="15">T6*Z6</f>
        <v>1612169</v>
      </c>
      <c r="AC6" s="91">
        <f t="shared" ref="AC6:AC28" si="16">U6*AA6</f>
        <v>7842250</v>
      </c>
      <c r="AD6" s="91">
        <f t="shared" ref="AD6:AE19" si="17">V6*Z6</f>
        <v>0</v>
      </c>
      <c r="AE6" s="91">
        <f t="shared" si="17"/>
        <v>1819402</v>
      </c>
      <c r="AF6" s="91">
        <f t="shared" ref="AF6:AG19" si="18">X6*Z6</f>
        <v>0</v>
      </c>
      <c r="AG6" s="91">
        <f t="shared" si="18"/>
        <v>31369</v>
      </c>
      <c r="AH6" s="91">
        <f t="shared" ref="AH6:AH28" si="19">AB6+AC6+AD6+AE6+AF6+AG6</f>
        <v>11305190</v>
      </c>
      <c r="AI6" s="974">
        <f>'Родительская плата '!U7</f>
        <v>10364120</v>
      </c>
      <c r="AJ6" s="367">
        <f t="shared" ref="AJ6:AJ28" si="20">AH6-AI6</f>
        <v>941070</v>
      </c>
    </row>
    <row r="7" spans="1:36" ht="13.15" customHeight="1" x14ac:dyDescent="0.2">
      <c r="A7" s="6">
        <v>3</v>
      </c>
      <c r="B7" s="811" t="str">
        <f>'Мягкий инвентарь'!A19</f>
        <v>МАДОУ ЦРР-детский сад № 13</v>
      </c>
      <c r="C7" s="812">
        <f>Численность!AF8+Численность!AH8</f>
        <v>124</v>
      </c>
      <c r="D7" s="812">
        <f>Численность!AG8+Численность!AI8+Численность!AJ8</f>
        <v>279</v>
      </c>
      <c r="E7" s="812">
        <f>Численность!AP8</f>
        <v>0</v>
      </c>
      <c r="F7" s="812">
        <f>Численность!AQ8</f>
        <v>93</v>
      </c>
      <c r="G7" s="812">
        <f>Численность!AK8+Численность!AM8</f>
        <v>1</v>
      </c>
      <c r="H7" s="812">
        <f>Численность!AL8+Численность!AN8+Численность!AO8</f>
        <v>7</v>
      </c>
      <c r="I7" s="813">
        <f>'Питание норматив'!$H$40</f>
        <v>29146</v>
      </c>
      <c r="J7" s="813">
        <f>'Питание норматив'!$K$40</f>
        <v>34580</v>
      </c>
      <c r="K7" s="813">
        <f t="shared" si="4"/>
        <v>3614104</v>
      </c>
      <c r="L7" s="813">
        <f t="shared" si="5"/>
        <v>9647820</v>
      </c>
      <c r="M7" s="813">
        <f t="shared" si="0"/>
        <v>0</v>
      </c>
      <c r="N7" s="813">
        <f t="shared" si="6"/>
        <v>3215940</v>
      </c>
      <c r="O7" s="813">
        <f t="shared" si="1"/>
        <v>29146</v>
      </c>
      <c r="P7" s="813">
        <f t="shared" si="2"/>
        <v>242060</v>
      </c>
      <c r="Q7" s="813">
        <f t="shared" si="7"/>
        <v>16749070</v>
      </c>
      <c r="R7" s="367">
        <f>'Родительская плата '!N8</f>
        <v>14869894</v>
      </c>
      <c r="S7" s="367">
        <f t="shared" si="8"/>
        <v>1879176</v>
      </c>
      <c r="T7" s="812">
        <f t="shared" si="9"/>
        <v>124</v>
      </c>
      <c r="U7" s="812">
        <f t="shared" si="10"/>
        <v>279</v>
      </c>
      <c r="V7" s="812">
        <f t="shared" si="11"/>
        <v>0</v>
      </c>
      <c r="W7" s="812">
        <f t="shared" si="12"/>
        <v>93</v>
      </c>
      <c r="X7" s="812">
        <f t="shared" si="13"/>
        <v>1</v>
      </c>
      <c r="Y7" s="812">
        <f t="shared" si="14"/>
        <v>7</v>
      </c>
      <c r="Z7" s="282">
        <f>'[1]Питание норматив'!$D$38</f>
        <v>26429</v>
      </c>
      <c r="AA7" s="282">
        <f>'[1]Питание норматив'!$G$38</f>
        <v>31369</v>
      </c>
      <c r="AB7" s="91">
        <f>T7*Z7</f>
        <v>3277196</v>
      </c>
      <c r="AC7" s="91">
        <f>U7*AA7</f>
        <v>8751951</v>
      </c>
      <c r="AD7" s="91">
        <f t="shared" si="17"/>
        <v>0</v>
      </c>
      <c r="AE7" s="91">
        <f t="shared" si="17"/>
        <v>2917317</v>
      </c>
      <c r="AF7" s="91">
        <f t="shared" si="18"/>
        <v>26429</v>
      </c>
      <c r="AG7" s="91">
        <f t="shared" si="18"/>
        <v>219583</v>
      </c>
      <c r="AH7" s="91">
        <f t="shared" si="19"/>
        <v>15192476</v>
      </c>
      <c r="AI7" s="974">
        <f>'Родительская плата '!U8</f>
        <v>13487806</v>
      </c>
      <c r="AJ7" s="367">
        <f t="shared" si="20"/>
        <v>1704670</v>
      </c>
    </row>
    <row r="8" spans="1:36" ht="13.15" customHeight="1" x14ac:dyDescent="0.2">
      <c r="A8" s="6">
        <v>5</v>
      </c>
      <c r="B8" s="811" t="str">
        <f>'Мягкий инвентарь'!A20</f>
        <v>МАОУ СОШ № 1 структурное подразделение</v>
      </c>
      <c r="C8" s="812">
        <f>Численность!AF9+Численность!AH9</f>
        <v>41</v>
      </c>
      <c r="D8" s="812">
        <f>Численность!AG9+Численность!AI9+Численность!AJ9</f>
        <v>208</v>
      </c>
      <c r="E8" s="812">
        <f>Численность!AP9</f>
        <v>0</v>
      </c>
      <c r="F8" s="812">
        <f>Численность!AQ9</f>
        <v>15</v>
      </c>
      <c r="G8" s="812">
        <f>Численность!AK9+Численность!AM9</f>
        <v>0</v>
      </c>
      <c r="H8" s="812">
        <f>Численность!AL9+Численность!AN9+Численность!AO9</f>
        <v>1</v>
      </c>
      <c r="I8" s="813">
        <f>'Питание норматив'!$H$40</f>
        <v>29146</v>
      </c>
      <c r="J8" s="813">
        <f>'Питание норматив'!$K$40</f>
        <v>34580</v>
      </c>
      <c r="K8" s="813">
        <f t="shared" si="4"/>
        <v>1194986</v>
      </c>
      <c r="L8" s="813">
        <f t="shared" si="5"/>
        <v>7192640</v>
      </c>
      <c r="M8" s="813">
        <f t="shared" si="0"/>
        <v>0</v>
      </c>
      <c r="N8" s="813">
        <f t="shared" si="6"/>
        <v>518700</v>
      </c>
      <c r="O8" s="813">
        <f t="shared" si="1"/>
        <v>0</v>
      </c>
      <c r="P8" s="813">
        <f t="shared" si="2"/>
        <v>34580</v>
      </c>
      <c r="Q8" s="813">
        <f t="shared" si="7"/>
        <v>8940906</v>
      </c>
      <c r="R8" s="367">
        <f>'Родительская плата '!N9</f>
        <v>8646976</v>
      </c>
      <c r="S8" s="367">
        <f t="shared" si="8"/>
        <v>293930</v>
      </c>
      <c r="T8" s="812">
        <f t="shared" si="9"/>
        <v>41</v>
      </c>
      <c r="U8" s="812">
        <f t="shared" si="10"/>
        <v>208</v>
      </c>
      <c r="V8" s="812">
        <f t="shared" si="11"/>
        <v>0</v>
      </c>
      <c r="W8" s="812">
        <f t="shared" si="12"/>
        <v>15</v>
      </c>
      <c r="X8" s="812">
        <f t="shared" si="13"/>
        <v>0</v>
      </c>
      <c r="Y8" s="812">
        <f t="shared" si="14"/>
        <v>1</v>
      </c>
      <c r="Z8" s="282">
        <f>'[1]Питание норматив'!$D$38</f>
        <v>26429</v>
      </c>
      <c r="AA8" s="282">
        <f>'[1]Питание норматив'!$G$38</f>
        <v>31369</v>
      </c>
      <c r="AB8" s="91">
        <f t="shared" si="15"/>
        <v>1083589</v>
      </c>
      <c r="AC8" s="91">
        <f t="shared" si="16"/>
        <v>6524752</v>
      </c>
      <c r="AD8" s="91">
        <f>V8*Z8</f>
        <v>0</v>
      </c>
      <c r="AE8" s="91">
        <f t="shared" si="17"/>
        <v>470535</v>
      </c>
      <c r="AF8" s="91">
        <f t="shared" si="18"/>
        <v>0</v>
      </c>
      <c r="AG8" s="91">
        <f t="shared" si="18"/>
        <v>31369</v>
      </c>
      <c r="AH8" s="91">
        <f t="shared" si="19"/>
        <v>8110245</v>
      </c>
      <c r="AI8" s="974">
        <f>'Родительская плата '!U9</f>
        <v>7843609</v>
      </c>
      <c r="AJ8" s="367">
        <f t="shared" si="20"/>
        <v>266636</v>
      </c>
    </row>
    <row r="9" spans="1:36" ht="27" customHeight="1" x14ac:dyDescent="0.2">
      <c r="A9" s="6">
        <v>6</v>
      </c>
      <c r="B9" s="811" t="str">
        <f>'Мягкий инвентарь'!A21</f>
        <v>МАОУ СОШ № 2 им.М.И.Грибушина структурное подразделение</v>
      </c>
      <c r="C9" s="812">
        <f>Численность!AF10+Численность!AH10</f>
        <v>33</v>
      </c>
      <c r="D9" s="812">
        <f>Численность!AG10+Численность!AI10+Численность!AJ10</f>
        <v>136</v>
      </c>
      <c r="E9" s="812">
        <f>Численность!AP10</f>
        <v>0</v>
      </c>
      <c r="F9" s="812">
        <f>Численность!AQ10</f>
        <v>17</v>
      </c>
      <c r="G9" s="812">
        <f>Численность!AK10+Численность!AM10</f>
        <v>0</v>
      </c>
      <c r="H9" s="812">
        <f>Численность!AL10+Численность!AN10+Численность!AO10</f>
        <v>3</v>
      </c>
      <c r="I9" s="813">
        <f>'Питание норматив'!$H$40</f>
        <v>29146</v>
      </c>
      <c r="J9" s="813">
        <f>'Питание норматив'!$K$40</f>
        <v>34580</v>
      </c>
      <c r="K9" s="813">
        <f t="shared" si="4"/>
        <v>961818</v>
      </c>
      <c r="L9" s="813">
        <f t="shared" si="5"/>
        <v>4702880</v>
      </c>
      <c r="M9" s="813">
        <f t="shared" si="0"/>
        <v>0</v>
      </c>
      <c r="N9" s="813">
        <f t="shared" si="6"/>
        <v>587860</v>
      </c>
      <c r="O9" s="813">
        <f t="shared" si="1"/>
        <v>0</v>
      </c>
      <c r="P9" s="813">
        <f t="shared" si="2"/>
        <v>103740</v>
      </c>
      <c r="Q9" s="813">
        <f t="shared" si="7"/>
        <v>6356298</v>
      </c>
      <c r="R9" s="367">
        <f>'Родительская плата '!N10</f>
        <v>5958628</v>
      </c>
      <c r="S9" s="367">
        <f t="shared" si="8"/>
        <v>397670</v>
      </c>
      <c r="T9" s="812">
        <f t="shared" si="9"/>
        <v>33</v>
      </c>
      <c r="U9" s="812">
        <f t="shared" si="10"/>
        <v>136</v>
      </c>
      <c r="V9" s="812">
        <f t="shared" si="11"/>
        <v>0</v>
      </c>
      <c r="W9" s="812">
        <f t="shared" si="12"/>
        <v>17</v>
      </c>
      <c r="X9" s="812">
        <f t="shared" si="13"/>
        <v>0</v>
      </c>
      <c r="Y9" s="812">
        <f t="shared" si="14"/>
        <v>3</v>
      </c>
      <c r="Z9" s="282">
        <f>'[1]Питание норматив'!$D$38</f>
        <v>26429</v>
      </c>
      <c r="AA9" s="282">
        <f>'[1]Питание норматив'!$G$38</f>
        <v>31369</v>
      </c>
      <c r="AB9" s="91">
        <f t="shared" si="15"/>
        <v>872157</v>
      </c>
      <c r="AC9" s="91">
        <f>U9*AA9</f>
        <v>4266184</v>
      </c>
      <c r="AD9" s="91">
        <f t="shared" si="17"/>
        <v>0</v>
      </c>
      <c r="AE9" s="91">
        <f t="shared" si="17"/>
        <v>533273</v>
      </c>
      <c r="AF9" s="91">
        <f t="shared" si="18"/>
        <v>0</v>
      </c>
      <c r="AG9" s="91">
        <f t="shared" si="18"/>
        <v>94107</v>
      </c>
      <c r="AH9" s="91">
        <f t="shared" si="19"/>
        <v>5765721</v>
      </c>
      <c r="AI9" s="974">
        <f>'Родительская плата '!U10</f>
        <v>5404978</v>
      </c>
      <c r="AJ9" s="367">
        <f t="shared" si="20"/>
        <v>360743</v>
      </c>
    </row>
    <row r="10" spans="1:36" ht="13.15" customHeight="1" x14ac:dyDescent="0.2">
      <c r="A10" s="6">
        <v>8</v>
      </c>
      <c r="B10" s="811" t="str">
        <f>'Мягкий инвентарь'!A22</f>
        <v>МАОУ СОШ № 10 структурное подразделение</v>
      </c>
      <c r="C10" s="812">
        <f>Численность!AF11+Численность!AH11</f>
        <v>15</v>
      </c>
      <c r="D10" s="812">
        <f>Численность!AG11+Численность!AI11+Численность!AJ11</f>
        <v>129</v>
      </c>
      <c r="E10" s="812">
        <f>Численность!AP11</f>
        <v>0</v>
      </c>
      <c r="F10" s="812">
        <f>Численность!AQ11</f>
        <v>7</v>
      </c>
      <c r="G10" s="812">
        <f>Численность!AK11+Численность!AM11</f>
        <v>1</v>
      </c>
      <c r="H10" s="812">
        <f>Численность!AL11+Численность!AN11+Численность!AO11</f>
        <v>4</v>
      </c>
      <c r="I10" s="813">
        <f>'Питание норматив'!$H$40</f>
        <v>29146</v>
      </c>
      <c r="J10" s="813">
        <f>'Питание норматив'!$K$40</f>
        <v>34580</v>
      </c>
      <c r="K10" s="813">
        <f t="shared" si="4"/>
        <v>437190</v>
      </c>
      <c r="L10" s="813">
        <f t="shared" si="5"/>
        <v>4460820</v>
      </c>
      <c r="M10" s="813">
        <f t="shared" si="0"/>
        <v>0</v>
      </c>
      <c r="N10" s="813">
        <f t="shared" si="6"/>
        <v>242060</v>
      </c>
      <c r="O10" s="813">
        <f t="shared" si="1"/>
        <v>29146</v>
      </c>
      <c r="P10" s="813">
        <f t="shared" si="2"/>
        <v>138320</v>
      </c>
      <c r="Q10" s="813">
        <f t="shared" si="7"/>
        <v>5307536</v>
      </c>
      <c r="R10" s="367">
        <f>'Родительская плата '!N11</f>
        <v>5019040</v>
      </c>
      <c r="S10" s="367">
        <f t="shared" si="8"/>
        <v>288496</v>
      </c>
      <c r="T10" s="812">
        <f t="shared" si="9"/>
        <v>15</v>
      </c>
      <c r="U10" s="812">
        <f t="shared" si="10"/>
        <v>129</v>
      </c>
      <c r="V10" s="812">
        <f t="shared" si="11"/>
        <v>0</v>
      </c>
      <c r="W10" s="812">
        <f t="shared" si="12"/>
        <v>7</v>
      </c>
      <c r="X10" s="812">
        <f t="shared" si="13"/>
        <v>1</v>
      </c>
      <c r="Y10" s="812">
        <f t="shared" si="14"/>
        <v>4</v>
      </c>
      <c r="Z10" s="282">
        <f>'[1]Питание норматив'!$D$38</f>
        <v>26429</v>
      </c>
      <c r="AA10" s="282">
        <f>'[1]Питание норматив'!$G$38</f>
        <v>31369</v>
      </c>
      <c r="AB10" s="91">
        <f t="shared" si="15"/>
        <v>396435</v>
      </c>
      <c r="AC10" s="91">
        <f t="shared" si="16"/>
        <v>4046601</v>
      </c>
      <c r="AD10" s="91">
        <f t="shared" si="17"/>
        <v>0</v>
      </c>
      <c r="AE10" s="91">
        <f t="shared" si="17"/>
        <v>219583</v>
      </c>
      <c r="AF10" s="91">
        <f t="shared" si="18"/>
        <v>26429</v>
      </c>
      <c r="AG10" s="91">
        <f t="shared" si="18"/>
        <v>125476</v>
      </c>
      <c r="AH10" s="91">
        <f t="shared" si="19"/>
        <v>4814524</v>
      </c>
      <c r="AI10" s="974">
        <f>'Родительская плата '!U11</f>
        <v>4552828</v>
      </c>
      <c r="AJ10" s="367">
        <f t="shared" si="20"/>
        <v>261696</v>
      </c>
    </row>
    <row r="11" spans="1:36" ht="11.25" customHeight="1" x14ac:dyDescent="0.2">
      <c r="A11" s="6">
        <v>10</v>
      </c>
      <c r="B11" s="811" t="str">
        <f>'Мягкий инвентарь'!A23</f>
        <v>МАОУ СОШ № 13 структурное подразделение</v>
      </c>
      <c r="C11" s="812">
        <f>Численность!AF12+Численность!AH12</f>
        <v>22</v>
      </c>
      <c r="D11" s="812">
        <f>Численность!AG12+Численность!AI12+Численность!AJ12</f>
        <v>81</v>
      </c>
      <c r="E11" s="812">
        <f>Численность!AP12</f>
        <v>0</v>
      </c>
      <c r="F11" s="812">
        <f>Численность!AQ12</f>
        <v>4</v>
      </c>
      <c r="G11" s="812">
        <f>Численность!AK12+Численность!AM12</f>
        <v>0</v>
      </c>
      <c r="H11" s="812">
        <f>Численность!AL12+Численность!AN12+Численность!AO12</f>
        <v>1</v>
      </c>
      <c r="I11" s="813">
        <f>'Питание норматив'!$H$40</f>
        <v>29146</v>
      </c>
      <c r="J11" s="813">
        <f>'Питание норматив'!$K$40</f>
        <v>34580</v>
      </c>
      <c r="K11" s="813">
        <f t="shared" si="4"/>
        <v>641212</v>
      </c>
      <c r="L11" s="813">
        <f t="shared" si="5"/>
        <v>2800980</v>
      </c>
      <c r="M11" s="813">
        <f t="shared" si="0"/>
        <v>0</v>
      </c>
      <c r="N11" s="813">
        <f t="shared" si="6"/>
        <v>138320</v>
      </c>
      <c r="O11" s="813">
        <f t="shared" si="1"/>
        <v>0</v>
      </c>
      <c r="P11" s="813">
        <f t="shared" si="2"/>
        <v>34580</v>
      </c>
      <c r="Q11" s="813">
        <f t="shared" si="7"/>
        <v>3615092</v>
      </c>
      <c r="R11" s="367">
        <f>'Родительская плата '!N12</f>
        <v>3511352</v>
      </c>
      <c r="S11" s="367">
        <f t="shared" si="8"/>
        <v>103740</v>
      </c>
      <c r="T11" s="812">
        <f t="shared" si="9"/>
        <v>22</v>
      </c>
      <c r="U11" s="812">
        <f t="shared" si="10"/>
        <v>81</v>
      </c>
      <c r="V11" s="812">
        <f t="shared" si="11"/>
        <v>0</v>
      </c>
      <c r="W11" s="812">
        <f t="shared" si="12"/>
        <v>4</v>
      </c>
      <c r="X11" s="812">
        <f t="shared" si="13"/>
        <v>0</v>
      </c>
      <c r="Y11" s="812">
        <f t="shared" si="14"/>
        <v>1</v>
      </c>
      <c r="Z11" s="282">
        <f>'[1]Питание норматив'!$D$38</f>
        <v>26429</v>
      </c>
      <c r="AA11" s="282">
        <f>'[1]Питание норматив'!$G$38</f>
        <v>31369</v>
      </c>
      <c r="AB11" s="91">
        <f t="shared" si="15"/>
        <v>581438</v>
      </c>
      <c r="AC11" s="91">
        <f t="shared" si="16"/>
        <v>2540889</v>
      </c>
      <c r="AD11" s="91">
        <f t="shared" si="17"/>
        <v>0</v>
      </c>
      <c r="AE11" s="91">
        <f t="shared" si="17"/>
        <v>125476</v>
      </c>
      <c r="AF11" s="91">
        <f t="shared" si="18"/>
        <v>0</v>
      </c>
      <c r="AG11" s="91">
        <f t="shared" si="18"/>
        <v>31369</v>
      </c>
      <c r="AH11" s="91">
        <f t="shared" si="19"/>
        <v>3279172</v>
      </c>
      <c r="AI11" s="974">
        <f>'Родительская плата '!U12</f>
        <v>3185065</v>
      </c>
      <c r="AJ11" s="367">
        <f t="shared" si="20"/>
        <v>94107</v>
      </c>
    </row>
    <row r="12" spans="1:36" ht="12.75" customHeight="1" x14ac:dyDescent="0.2">
      <c r="A12" s="6">
        <v>11</v>
      </c>
      <c r="B12" s="811" t="str">
        <f>'Мягкий инвентарь'!A24</f>
        <v>Гимназия № 16 структурное подразделение</v>
      </c>
      <c r="C12" s="812">
        <f>Численность!AF13+Численность!AH13</f>
        <v>32</v>
      </c>
      <c r="D12" s="812">
        <f>Численность!AG13+Численность!AI13+Численность!AJ13</f>
        <v>176</v>
      </c>
      <c r="E12" s="812">
        <f>Численность!AP13</f>
        <v>0</v>
      </c>
      <c r="F12" s="812">
        <f>Численность!AQ13</f>
        <v>15</v>
      </c>
      <c r="G12" s="812">
        <f>Численность!AK13+Численность!AM13</f>
        <v>0</v>
      </c>
      <c r="H12" s="812">
        <f>Численность!AL13+Численность!AN13+Численность!AO13</f>
        <v>9</v>
      </c>
      <c r="I12" s="813">
        <f>'Питание норматив'!$H$40</f>
        <v>29146</v>
      </c>
      <c r="J12" s="813">
        <f>'Питание норматив'!$K$40</f>
        <v>34580</v>
      </c>
      <c r="K12" s="813">
        <f t="shared" si="4"/>
        <v>932672</v>
      </c>
      <c r="L12" s="813">
        <f t="shared" si="5"/>
        <v>6086080</v>
      </c>
      <c r="M12" s="813">
        <f t="shared" si="0"/>
        <v>0</v>
      </c>
      <c r="N12" s="813">
        <f t="shared" si="6"/>
        <v>518700</v>
      </c>
      <c r="O12" s="813">
        <f t="shared" si="1"/>
        <v>0</v>
      </c>
      <c r="P12" s="813">
        <f t="shared" si="2"/>
        <v>311220</v>
      </c>
      <c r="Q12" s="813">
        <f t="shared" si="7"/>
        <v>7848672</v>
      </c>
      <c r="R12" s="367">
        <f>'Родительская плата '!N13</f>
        <v>7278102</v>
      </c>
      <c r="S12" s="367">
        <f t="shared" si="8"/>
        <v>570570</v>
      </c>
      <c r="T12" s="812">
        <f t="shared" si="9"/>
        <v>32</v>
      </c>
      <c r="U12" s="812">
        <f t="shared" si="10"/>
        <v>176</v>
      </c>
      <c r="V12" s="812">
        <f t="shared" si="11"/>
        <v>0</v>
      </c>
      <c r="W12" s="812">
        <f t="shared" si="12"/>
        <v>15</v>
      </c>
      <c r="X12" s="812">
        <f t="shared" si="13"/>
        <v>0</v>
      </c>
      <c r="Y12" s="812">
        <f t="shared" si="14"/>
        <v>9</v>
      </c>
      <c r="Z12" s="282">
        <f>'[1]Питание норматив'!$D$38</f>
        <v>26429</v>
      </c>
      <c r="AA12" s="282">
        <f>'[1]Питание норматив'!$G$38</f>
        <v>31369</v>
      </c>
      <c r="AB12" s="91">
        <f t="shared" si="15"/>
        <v>845728</v>
      </c>
      <c r="AC12" s="91">
        <f t="shared" si="16"/>
        <v>5520944</v>
      </c>
      <c r="AD12" s="91">
        <f t="shared" si="17"/>
        <v>0</v>
      </c>
      <c r="AE12" s="91">
        <f t="shared" si="17"/>
        <v>470535</v>
      </c>
      <c r="AF12" s="91">
        <f t="shared" si="18"/>
        <v>0</v>
      </c>
      <c r="AG12" s="91">
        <f t="shared" si="18"/>
        <v>282321</v>
      </c>
      <c r="AH12" s="91">
        <f t="shared" si="19"/>
        <v>7119528</v>
      </c>
      <c r="AI12" s="974">
        <f>'Родительская плата '!U13</f>
        <v>6601940</v>
      </c>
      <c r="AJ12" s="367">
        <f t="shared" si="20"/>
        <v>517588</v>
      </c>
    </row>
    <row r="13" spans="1:36" ht="27" customHeight="1" x14ac:dyDescent="0.2">
      <c r="A13" s="6">
        <v>12</v>
      </c>
      <c r="B13" s="811" t="str">
        <f>'Мягкий инвентарь'!A25</f>
        <v>МАОУ ООШ № 17 с кадетскими классами структурное подразделение</v>
      </c>
      <c r="C13" s="812">
        <f>Численность!AF14+Численность!AH14</f>
        <v>13</v>
      </c>
      <c r="D13" s="812">
        <f>Численность!AG14+Численность!AI14+Численность!AJ14</f>
        <v>51</v>
      </c>
      <c r="E13" s="812">
        <f>Численность!AP14</f>
        <v>0</v>
      </c>
      <c r="F13" s="812">
        <f>Численность!AQ14</f>
        <v>1</v>
      </c>
      <c r="G13" s="812">
        <f>Численность!AK14+Численность!AM14</f>
        <v>0</v>
      </c>
      <c r="H13" s="812">
        <f>Численность!AL14+Численность!AN14+Численность!AO14</f>
        <v>4</v>
      </c>
      <c r="I13" s="813">
        <f>'Питание норматив'!$H$40</f>
        <v>29146</v>
      </c>
      <c r="J13" s="813">
        <f>'Питание норматив'!$K$40</f>
        <v>34580</v>
      </c>
      <c r="K13" s="813">
        <f t="shared" si="4"/>
        <v>378898</v>
      </c>
      <c r="L13" s="813">
        <f t="shared" si="5"/>
        <v>1763580</v>
      </c>
      <c r="M13" s="813">
        <f t="shared" si="0"/>
        <v>0</v>
      </c>
      <c r="N13" s="813">
        <f t="shared" si="6"/>
        <v>34580</v>
      </c>
      <c r="O13" s="813">
        <f t="shared" si="1"/>
        <v>0</v>
      </c>
      <c r="P13" s="813">
        <f t="shared" si="2"/>
        <v>138320</v>
      </c>
      <c r="Q13" s="813">
        <f t="shared" si="7"/>
        <v>2315378</v>
      </c>
      <c r="R13" s="367">
        <f>'Родительская плата '!N14</f>
        <v>2159768</v>
      </c>
      <c r="S13" s="367">
        <f t="shared" si="8"/>
        <v>155610</v>
      </c>
      <c r="T13" s="812">
        <f t="shared" si="9"/>
        <v>13</v>
      </c>
      <c r="U13" s="812">
        <f t="shared" si="10"/>
        <v>51</v>
      </c>
      <c r="V13" s="812">
        <f t="shared" si="11"/>
        <v>0</v>
      </c>
      <c r="W13" s="812">
        <f t="shared" si="12"/>
        <v>1</v>
      </c>
      <c r="X13" s="812">
        <f t="shared" si="13"/>
        <v>0</v>
      </c>
      <c r="Y13" s="812">
        <f t="shared" si="14"/>
        <v>4</v>
      </c>
      <c r="Z13" s="282">
        <f>'[1]Питание норматив'!$D$38</f>
        <v>26429</v>
      </c>
      <c r="AA13" s="282">
        <f>'[1]Питание норматив'!$G$38</f>
        <v>31369</v>
      </c>
      <c r="AB13" s="91">
        <f t="shared" si="15"/>
        <v>343577</v>
      </c>
      <c r="AC13" s="91">
        <f>U13*AA13</f>
        <v>1599819</v>
      </c>
      <c r="AD13" s="91">
        <f t="shared" si="17"/>
        <v>0</v>
      </c>
      <c r="AE13" s="91">
        <f t="shared" si="17"/>
        <v>31369</v>
      </c>
      <c r="AF13" s="91">
        <f t="shared" si="18"/>
        <v>0</v>
      </c>
      <c r="AG13" s="91">
        <f t="shared" si="18"/>
        <v>125476</v>
      </c>
      <c r="AH13" s="91">
        <f t="shared" si="19"/>
        <v>2100241</v>
      </c>
      <c r="AI13" s="974">
        <f>'Родительская плата '!U14</f>
        <v>1959081</v>
      </c>
      <c r="AJ13" s="367">
        <f t="shared" si="20"/>
        <v>141160</v>
      </c>
    </row>
    <row r="14" spans="1:36" ht="27" customHeight="1" x14ac:dyDescent="0.2">
      <c r="A14" s="6"/>
      <c r="B14" s="820" t="s">
        <v>670</v>
      </c>
      <c r="C14" s="863">
        <f>Численность!AF15+Численность!AH15</f>
        <v>4</v>
      </c>
      <c r="D14" s="812">
        <f>Численность!AG15+Численность!AI15+Численность!AJ15</f>
        <v>30</v>
      </c>
      <c r="E14" s="863">
        <f>Численность!AP15</f>
        <v>1</v>
      </c>
      <c r="F14" s="863">
        <f>Численность!AQ15</f>
        <v>3</v>
      </c>
      <c r="G14" s="863">
        <f>Численность!AK15+Численность!AM15</f>
        <v>0</v>
      </c>
      <c r="H14" s="863">
        <f>Численность!AL15+Численность!AN15+Численность!AO15</f>
        <v>1</v>
      </c>
      <c r="I14" s="821">
        <f>'Питание норматив'!$H$40</f>
        <v>29146</v>
      </c>
      <c r="J14" s="821">
        <f>'Питание норматив'!$K$40</f>
        <v>34580</v>
      </c>
      <c r="K14" s="821">
        <f t="shared" ref="K14:K28" si="21">C14*I14</f>
        <v>116584</v>
      </c>
      <c r="L14" s="821">
        <f t="shared" ref="L14:L28" si="22">D14*J14</f>
        <v>1037400</v>
      </c>
      <c r="M14" s="821">
        <f t="shared" ref="M14:M28" si="23">E14*I14</f>
        <v>29146</v>
      </c>
      <c r="N14" s="821">
        <f t="shared" ref="N14:N28" si="24">F14*J14</f>
        <v>103740</v>
      </c>
      <c r="O14" s="821">
        <f t="shared" ref="O14:O28" si="25">G14*I14</f>
        <v>0</v>
      </c>
      <c r="P14" s="821">
        <f t="shared" ref="P14:P28" si="26">H14*J14</f>
        <v>34580</v>
      </c>
      <c r="Q14" s="821">
        <f t="shared" ref="Q14:Q28" si="27">K14+L14+M14+N14+O14+P14</f>
        <v>1321450</v>
      </c>
      <c r="R14" s="367">
        <f>'Родительская плата '!N15</f>
        <v>1220427</v>
      </c>
      <c r="S14" s="367">
        <f t="shared" si="8"/>
        <v>101023</v>
      </c>
      <c r="T14" s="812">
        <f t="shared" si="9"/>
        <v>4</v>
      </c>
      <c r="U14" s="812">
        <f t="shared" si="10"/>
        <v>30</v>
      </c>
      <c r="V14" s="812">
        <f t="shared" si="11"/>
        <v>1</v>
      </c>
      <c r="W14" s="812">
        <f t="shared" si="12"/>
        <v>3</v>
      </c>
      <c r="X14" s="812">
        <f t="shared" si="13"/>
        <v>0</v>
      </c>
      <c r="Y14" s="812">
        <f t="shared" si="14"/>
        <v>1</v>
      </c>
      <c r="Z14" s="282">
        <f>'[1]Питание норматив'!$D$38</f>
        <v>26429</v>
      </c>
      <c r="AA14" s="282">
        <f>'[1]Питание норматив'!$G$38</f>
        <v>31369</v>
      </c>
      <c r="AB14" s="91">
        <f t="shared" si="15"/>
        <v>105716</v>
      </c>
      <c r="AC14" s="91">
        <f t="shared" si="16"/>
        <v>941070</v>
      </c>
      <c r="AD14" s="91">
        <f>V14*Z14</f>
        <v>26429</v>
      </c>
      <c r="AE14" s="91">
        <f t="shared" si="17"/>
        <v>94107</v>
      </c>
      <c r="AF14" s="91">
        <f t="shared" si="18"/>
        <v>0</v>
      </c>
      <c r="AG14" s="91">
        <f t="shared" si="18"/>
        <v>31369</v>
      </c>
      <c r="AH14" s="91">
        <f t="shared" si="19"/>
        <v>1198691</v>
      </c>
      <c r="AI14" s="974">
        <f>'Родительская плата '!U15</f>
        <v>1107055</v>
      </c>
      <c r="AJ14" s="367">
        <f t="shared" si="20"/>
        <v>91636</v>
      </c>
    </row>
    <row r="15" spans="1:36" ht="27" customHeight="1" x14ac:dyDescent="0.2">
      <c r="A15" s="6"/>
      <c r="B15" s="820" t="s">
        <v>671</v>
      </c>
      <c r="C15" s="863">
        <f>Численность!AF16+Численность!AH16</f>
        <v>8</v>
      </c>
      <c r="D15" s="812">
        <f>Численность!AG16+Численность!AI16+Численность!AJ16</f>
        <v>24</v>
      </c>
      <c r="E15" s="863">
        <f>Численность!AP16</f>
        <v>0</v>
      </c>
      <c r="F15" s="863">
        <f>Численность!AQ16</f>
        <v>1</v>
      </c>
      <c r="G15" s="863">
        <f>Численность!AK16+Численность!AM16</f>
        <v>0</v>
      </c>
      <c r="H15" s="863">
        <f>Численность!AL16+Численность!AN16+Численность!AO16</f>
        <v>1</v>
      </c>
      <c r="I15" s="821">
        <f>'Питание норматив'!$H$40</f>
        <v>29146</v>
      </c>
      <c r="J15" s="821">
        <f>'Питание норматив'!$K$40</f>
        <v>34580</v>
      </c>
      <c r="K15" s="821">
        <f t="shared" si="21"/>
        <v>233168</v>
      </c>
      <c r="L15" s="821">
        <f t="shared" si="22"/>
        <v>829920</v>
      </c>
      <c r="M15" s="821">
        <f t="shared" si="23"/>
        <v>0</v>
      </c>
      <c r="N15" s="821">
        <f t="shared" si="24"/>
        <v>34580</v>
      </c>
      <c r="O15" s="821">
        <f t="shared" si="25"/>
        <v>0</v>
      </c>
      <c r="P15" s="821">
        <f t="shared" si="26"/>
        <v>34580</v>
      </c>
      <c r="Q15" s="821">
        <f t="shared" si="27"/>
        <v>1132248</v>
      </c>
      <c r="R15" s="367">
        <f>'Родительская плата '!N16</f>
        <v>1080378</v>
      </c>
      <c r="S15" s="367">
        <f t="shared" si="8"/>
        <v>51870</v>
      </c>
      <c r="T15" s="812">
        <f t="shared" si="9"/>
        <v>8</v>
      </c>
      <c r="U15" s="812">
        <f t="shared" si="10"/>
        <v>24</v>
      </c>
      <c r="V15" s="812">
        <f t="shared" si="11"/>
        <v>0</v>
      </c>
      <c r="W15" s="812">
        <f t="shared" si="12"/>
        <v>1</v>
      </c>
      <c r="X15" s="812">
        <f t="shared" si="13"/>
        <v>0</v>
      </c>
      <c r="Y15" s="812">
        <f t="shared" si="14"/>
        <v>1</v>
      </c>
      <c r="Z15" s="282">
        <f>'[1]Питание норматив'!$D$38</f>
        <v>26429</v>
      </c>
      <c r="AA15" s="282">
        <f>'[1]Питание норматив'!$G$38</f>
        <v>31369</v>
      </c>
      <c r="AB15" s="91">
        <f t="shared" si="15"/>
        <v>211432</v>
      </c>
      <c r="AC15" s="91">
        <f t="shared" si="16"/>
        <v>752856</v>
      </c>
      <c r="AD15" s="91">
        <f t="shared" si="17"/>
        <v>0</v>
      </c>
      <c r="AE15" s="91">
        <f t="shared" si="17"/>
        <v>31369</v>
      </c>
      <c r="AF15" s="91">
        <f t="shared" si="18"/>
        <v>0</v>
      </c>
      <c r="AG15" s="91">
        <f t="shared" si="18"/>
        <v>31369</v>
      </c>
      <c r="AH15" s="91">
        <f t="shared" si="19"/>
        <v>1027026</v>
      </c>
      <c r="AI15" s="974">
        <f>'Родительская плата '!U16</f>
        <v>979973</v>
      </c>
      <c r="AJ15" s="367">
        <f t="shared" si="20"/>
        <v>47053</v>
      </c>
    </row>
    <row r="16" spans="1:36" ht="27" customHeight="1" x14ac:dyDescent="0.2">
      <c r="A16" s="6"/>
      <c r="B16" s="820" t="s">
        <v>672</v>
      </c>
      <c r="C16" s="863">
        <f>Численность!AF17+Численность!AH17</f>
        <v>15</v>
      </c>
      <c r="D16" s="812">
        <f>Численность!AG17+Численность!AI17+Численность!AJ17</f>
        <v>77</v>
      </c>
      <c r="E16" s="863">
        <f>Численность!AP17</f>
        <v>2</v>
      </c>
      <c r="F16" s="863">
        <f>Численность!AQ17</f>
        <v>13</v>
      </c>
      <c r="G16" s="863">
        <f>Численность!AK17+Численность!AM17</f>
        <v>0</v>
      </c>
      <c r="H16" s="863">
        <f>Численность!AL17+Численность!AN17+Численность!AO17</f>
        <v>1</v>
      </c>
      <c r="I16" s="821">
        <f>'Питание норматив'!$H$40</f>
        <v>29146</v>
      </c>
      <c r="J16" s="821">
        <f>'Питание норматив'!$K$40</f>
        <v>34580</v>
      </c>
      <c r="K16" s="821">
        <f t="shared" si="21"/>
        <v>437190</v>
      </c>
      <c r="L16" s="821">
        <f t="shared" si="22"/>
        <v>2662660</v>
      </c>
      <c r="M16" s="821">
        <f t="shared" si="23"/>
        <v>58292</v>
      </c>
      <c r="N16" s="821">
        <f t="shared" si="24"/>
        <v>449540</v>
      </c>
      <c r="O16" s="821">
        <f t="shared" si="25"/>
        <v>0</v>
      </c>
      <c r="P16" s="821">
        <f t="shared" si="26"/>
        <v>34580</v>
      </c>
      <c r="Q16" s="821">
        <f t="shared" si="27"/>
        <v>3642262</v>
      </c>
      <c r="R16" s="367">
        <f>'Родительская плата '!N17</f>
        <v>3353766</v>
      </c>
      <c r="S16" s="367">
        <f t="shared" si="8"/>
        <v>288496</v>
      </c>
      <c r="T16" s="812">
        <f t="shared" si="9"/>
        <v>15</v>
      </c>
      <c r="U16" s="812">
        <f t="shared" si="10"/>
        <v>77</v>
      </c>
      <c r="V16" s="812">
        <f t="shared" si="11"/>
        <v>2</v>
      </c>
      <c r="W16" s="812">
        <f t="shared" si="12"/>
        <v>13</v>
      </c>
      <c r="X16" s="812">
        <f t="shared" si="13"/>
        <v>0</v>
      </c>
      <c r="Y16" s="812">
        <f t="shared" si="14"/>
        <v>1</v>
      </c>
      <c r="Z16" s="282">
        <f>'[1]Питание норматив'!$D$38</f>
        <v>26429</v>
      </c>
      <c r="AA16" s="282">
        <f>'[1]Питание норматив'!$G$38</f>
        <v>31369</v>
      </c>
      <c r="AB16" s="91">
        <f t="shared" si="15"/>
        <v>396435</v>
      </c>
      <c r="AC16" s="91">
        <f t="shared" si="16"/>
        <v>2415413</v>
      </c>
      <c r="AD16" s="91">
        <f>V16*Z16</f>
        <v>52858</v>
      </c>
      <c r="AE16" s="91">
        <f>W16*AA16</f>
        <v>407797</v>
      </c>
      <c r="AF16" s="91">
        <f t="shared" si="18"/>
        <v>0</v>
      </c>
      <c r="AG16" s="91">
        <f t="shared" si="18"/>
        <v>31369</v>
      </c>
      <c r="AH16" s="91">
        <f t="shared" si="19"/>
        <v>3303872</v>
      </c>
      <c r="AI16" s="974">
        <f>'Родительская плата '!U17</f>
        <v>3042176</v>
      </c>
      <c r="AJ16" s="367">
        <f t="shared" si="20"/>
        <v>261696</v>
      </c>
    </row>
    <row r="17" spans="1:36" ht="27" customHeight="1" x14ac:dyDescent="0.2">
      <c r="A17" s="6"/>
      <c r="B17" s="820" t="s">
        <v>673</v>
      </c>
      <c r="C17" s="863">
        <f>Численность!AF18+Численность!AH18</f>
        <v>21</v>
      </c>
      <c r="D17" s="812">
        <f>Численность!AG18+Численность!AI18+Численность!AJ18</f>
        <v>80</v>
      </c>
      <c r="E17" s="863">
        <f>Численность!AP18</f>
        <v>0</v>
      </c>
      <c r="F17" s="863">
        <f>Численность!AQ18</f>
        <v>4</v>
      </c>
      <c r="G17" s="863">
        <f>Численность!AK18+Численность!AM18</f>
        <v>0</v>
      </c>
      <c r="H17" s="863">
        <f>Численность!AL18+Численность!AN18+Численность!AO18</f>
        <v>1</v>
      </c>
      <c r="I17" s="821">
        <f>'Питание норматив'!$H$40</f>
        <v>29146</v>
      </c>
      <c r="J17" s="821">
        <f>'Питание норматив'!$K$40</f>
        <v>34580</v>
      </c>
      <c r="K17" s="821">
        <f t="shared" si="21"/>
        <v>612066</v>
      </c>
      <c r="L17" s="821">
        <f t="shared" si="22"/>
        <v>2766400</v>
      </c>
      <c r="M17" s="821">
        <f t="shared" si="23"/>
        <v>0</v>
      </c>
      <c r="N17" s="821">
        <f t="shared" si="24"/>
        <v>138320</v>
      </c>
      <c r="O17" s="821">
        <f t="shared" si="25"/>
        <v>0</v>
      </c>
      <c r="P17" s="821">
        <f t="shared" si="26"/>
        <v>34580</v>
      </c>
      <c r="Q17" s="821">
        <f t="shared" si="27"/>
        <v>3551366</v>
      </c>
      <c r="R17" s="367">
        <f>'Родительская плата '!N18</f>
        <v>3447626</v>
      </c>
      <c r="S17" s="367">
        <f t="shared" si="8"/>
        <v>103740</v>
      </c>
      <c r="T17" s="812">
        <f t="shared" si="9"/>
        <v>21</v>
      </c>
      <c r="U17" s="812">
        <f t="shared" si="10"/>
        <v>80</v>
      </c>
      <c r="V17" s="812">
        <f t="shared" si="11"/>
        <v>0</v>
      </c>
      <c r="W17" s="812">
        <f t="shared" si="12"/>
        <v>4</v>
      </c>
      <c r="X17" s="812">
        <f t="shared" si="13"/>
        <v>0</v>
      </c>
      <c r="Y17" s="812">
        <f t="shared" si="14"/>
        <v>1</v>
      </c>
      <c r="Z17" s="282">
        <f>'[1]Питание норматив'!$D$38</f>
        <v>26429</v>
      </c>
      <c r="AA17" s="282">
        <f>'[1]Питание норматив'!$G$38</f>
        <v>31369</v>
      </c>
      <c r="AB17" s="91">
        <f t="shared" si="15"/>
        <v>555009</v>
      </c>
      <c r="AC17" s="91">
        <f>U17*AA17</f>
        <v>2509520</v>
      </c>
      <c r="AD17" s="91">
        <f t="shared" si="17"/>
        <v>0</v>
      </c>
      <c r="AE17" s="91">
        <f t="shared" si="17"/>
        <v>125476</v>
      </c>
      <c r="AF17" s="91">
        <f t="shared" si="18"/>
        <v>0</v>
      </c>
      <c r="AG17" s="91">
        <f t="shared" si="18"/>
        <v>31369</v>
      </c>
      <c r="AH17" s="91">
        <f t="shared" si="19"/>
        <v>3221374</v>
      </c>
      <c r="AI17" s="974">
        <f>'Родительская плата '!U18</f>
        <v>3127267</v>
      </c>
      <c r="AJ17" s="367">
        <f t="shared" si="20"/>
        <v>94107</v>
      </c>
    </row>
    <row r="18" spans="1:36" ht="27" customHeight="1" x14ac:dyDescent="0.2">
      <c r="A18" s="6"/>
      <c r="B18" s="820" t="s">
        <v>674</v>
      </c>
      <c r="C18" s="863">
        <f>Численность!AF19+Численность!AH19</f>
        <v>4</v>
      </c>
      <c r="D18" s="812">
        <f>Численность!AG19+Численность!AI19+Численность!AJ19</f>
        <v>32</v>
      </c>
      <c r="E18" s="863">
        <f>Численность!AP19</f>
        <v>0</v>
      </c>
      <c r="F18" s="863">
        <f>Численность!AQ19</f>
        <v>3</v>
      </c>
      <c r="G18" s="863">
        <f>Численность!AK19+Численность!AM19</f>
        <v>0</v>
      </c>
      <c r="H18" s="863">
        <f>Численность!AL19+Численность!AN19+Численность!AO19</f>
        <v>1</v>
      </c>
      <c r="I18" s="821">
        <f>'Питание норматив'!$H$40</f>
        <v>29146</v>
      </c>
      <c r="J18" s="821">
        <f>'Питание норматив'!$K$40</f>
        <v>34580</v>
      </c>
      <c r="K18" s="821">
        <f t="shared" si="21"/>
        <v>116584</v>
      </c>
      <c r="L18" s="821">
        <f t="shared" si="22"/>
        <v>1106560</v>
      </c>
      <c r="M18" s="821">
        <f t="shared" si="23"/>
        <v>0</v>
      </c>
      <c r="N18" s="821">
        <f t="shared" si="24"/>
        <v>103740</v>
      </c>
      <c r="O18" s="821">
        <f t="shared" si="25"/>
        <v>0</v>
      </c>
      <c r="P18" s="821">
        <f t="shared" si="26"/>
        <v>34580</v>
      </c>
      <c r="Q18" s="821">
        <f t="shared" si="27"/>
        <v>1361464</v>
      </c>
      <c r="R18" s="367">
        <f>'Родительская плата '!N19</f>
        <v>1275014</v>
      </c>
      <c r="S18" s="367">
        <f t="shared" si="8"/>
        <v>86450</v>
      </c>
      <c r="T18" s="812">
        <f t="shared" si="9"/>
        <v>4</v>
      </c>
      <c r="U18" s="812">
        <f t="shared" si="10"/>
        <v>32</v>
      </c>
      <c r="V18" s="812">
        <f t="shared" si="11"/>
        <v>0</v>
      </c>
      <c r="W18" s="812">
        <f t="shared" si="12"/>
        <v>3</v>
      </c>
      <c r="X18" s="812">
        <f t="shared" si="13"/>
        <v>0</v>
      </c>
      <c r="Y18" s="812">
        <f t="shared" si="14"/>
        <v>1</v>
      </c>
      <c r="Z18" s="282">
        <f>'[1]Питание норматив'!$D$38</f>
        <v>26429</v>
      </c>
      <c r="AA18" s="282">
        <f>'[1]Питание норматив'!$G$38</f>
        <v>31369</v>
      </c>
      <c r="AB18" s="91">
        <f t="shared" si="15"/>
        <v>105716</v>
      </c>
      <c r="AC18" s="91">
        <f t="shared" si="16"/>
        <v>1003808</v>
      </c>
      <c r="AD18" s="91">
        <f t="shared" si="17"/>
        <v>0</v>
      </c>
      <c r="AE18" s="91">
        <f t="shared" si="17"/>
        <v>94107</v>
      </c>
      <c r="AF18" s="91">
        <f t="shared" si="18"/>
        <v>0</v>
      </c>
      <c r="AG18" s="91">
        <f t="shared" si="18"/>
        <v>31369</v>
      </c>
      <c r="AH18" s="91">
        <f t="shared" si="19"/>
        <v>1235000</v>
      </c>
      <c r="AI18" s="974">
        <f>'Родительская плата '!U19</f>
        <v>1156578</v>
      </c>
      <c r="AJ18" s="367">
        <f t="shared" si="20"/>
        <v>78422</v>
      </c>
    </row>
    <row r="19" spans="1:36" ht="30.75" customHeight="1" x14ac:dyDescent="0.2">
      <c r="A19" s="6"/>
      <c r="B19" s="820" t="s">
        <v>675</v>
      </c>
      <c r="C19" s="863">
        <f>Численность!AF20+Численность!AH20</f>
        <v>11</v>
      </c>
      <c r="D19" s="812">
        <f>Численность!AG20+Численность!AI20+Численность!AJ20</f>
        <v>50</v>
      </c>
      <c r="E19" s="863">
        <f>Численность!AP20</f>
        <v>0</v>
      </c>
      <c r="F19" s="863">
        <f>Численность!AQ20</f>
        <v>4</v>
      </c>
      <c r="G19" s="863">
        <f>Численность!AK20+Численность!AM20</f>
        <v>0</v>
      </c>
      <c r="H19" s="863">
        <f>Численность!AL20+Численность!AN20+Численность!AO20</f>
        <v>4</v>
      </c>
      <c r="I19" s="821">
        <f>'Питание норматив'!$H$40</f>
        <v>29146</v>
      </c>
      <c r="J19" s="821">
        <f>'Питание норматив'!$K$40</f>
        <v>34580</v>
      </c>
      <c r="K19" s="821">
        <f t="shared" si="21"/>
        <v>320606</v>
      </c>
      <c r="L19" s="821">
        <f t="shared" si="22"/>
        <v>1729000</v>
      </c>
      <c r="M19" s="821">
        <f t="shared" si="23"/>
        <v>0</v>
      </c>
      <c r="N19" s="821">
        <f t="shared" si="24"/>
        <v>138320</v>
      </c>
      <c r="O19" s="821">
        <f t="shared" si="25"/>
        <v>0</v>
      </c>
      <c r="P19" s="821">
        <f t="shared" si="26"/>
        <v>138320</v>
      </c>
      <c r="Q19" s="821">
        <f t="shared" si="27"/>
        <v>2326246</v>
      </c>
      <c r="R19" s="367">
        <f>'Родительская плата '!N20</f>
        <v>2118766</v>
      </c>
      <c r="S19" s="367">
        <f t="shared" si="8"/>
        <v>207480</v>
      </c>
      <c r="T19" s="812">
        <f t="shared" si="9"/>
        <v>11</v>
      </c>
      <c r="U19" s="812">
        <f t="shared" si="10"/>
        <v>50</v>
      </c>
      <c r="V19" s="812">
        <f t="shared" si="11"/>
        <v>0</v>
      </c>
      <c r="W19" s="812">
        <f t="shared" si="12"/>
        <v>4</v>
      </c>
      <c r="X19" s="812">
        <f t="shared" si="13"/>
        <v>0</v>
      </c>
      <c r="Y19" s="812">
        <f t="shared" si="14"/>
        <v>4</v>
      </c>
      <c r="Z19" s="282">
        <f>'[1]Питание норматив'!$D$38</f>
        <v>26429</v>
      </c>
      <c r="AA19" s="282">
        <f>'[1]Питание норматив'!$G$38</f>
        <v>31369</v>
      </c>
      <c r="AB19" s="91">
        <f t="shared" si="15"/>
        <v>290719</v>
      </c>
      <c r="AC19" s="91">
        <f t="shared" si="16"/>
        <v>1568450</v>
      </c>
      <c r="AD19" s="91">
        <f t="shared" si="17"/>
        <v>0</v>
      </c>
      <c r="AE19" s="91">
        <f t="shared" si="17"/>
        <v>125476</v>
      </c>
      <c r="AF19" s="91">
        <f t="shared" si="18"/>
        <v>0</v>
      </c>
      <c r="AG19" s="91">
        <f t="shared" si="18"/>
        <v>125476</v>
      </c>
      <c r="AH19" s="91">
        <f t="shared" si="19"/>
        <v>2110121</v>
      </c>
      <c r="AI19" s="974">
        <f>'Родительская плата '!U20</f>
        <v>1921907</v>
      </c>
      <c r="AJ19" s="367">
        <f t="shared" si="20"/>
        <v>188214</v>
      </c>
    </row>
    <row r="20" spans="1:36" ht="30.75" customHeight="1" x14ac:dyDescent="0.2">
      <c r="A20" s="6"/>
      <c r="B20" s="820" t="s">
        <v>681</v>
      </c>
      <c r="C20" s="863">
        <f>Численность!AF21+Численность!AH21</f>
        <v>8</v>
      </c>
      <c r="D20" s="812">
        <f>Численность!AG21+Численность!AI21+Численность!AJ21</f>
        <v>40</v>
      </c>
      <c r="E20" s="863">
        <f>Численность!AP21</f>
        <v>0</v>
      </c>
      <c r="F20" s="863">
        <f>Численность!AQ21</f>
        <v>4</v>
      </c>
      <c r="G20" s="863">
        <f>Численность!AK21+Численность!AM21</f>
        <v>0</v>
      </c>
      <c r="H20" s="863">
        <f>Численность!AL21+Численность!AN21+Численность!AO21</f>
        <v>0</v>
      </c>
      <c r="I20" s="821">
        <f>'Питание норматив'!$H$40</f>
        <v>29146</v>
      </c>
      <c r="J20" s="821">
        <f>'Питание норматив'!$K$40</f>
        <v>34580</v>
      </c>
      <c r="K20" s="821">
        <f t="shared" si="21"/>
        <v>233168</v>
      </c>
      <c r="L20" s="821">
        <f t="shared" si="22"/>
        <v>1383200</v>
      </c>
      <c r="M20" s="821">
        <f t="shared" si="23"/>
        <v>0</v>
      </c>
      <c r="N20" s="821">
        <f t="shared" si="24"/>
        <v>138320</v>
      </c>
      <c r="O20" s="821">
        <f t="shared" si="25"/>
        <v>0</v>
      </c>
      <c r="P20" s="821">
        <f t="shared" si="26"/>
        <v>0</v>
      </c>
      <c r="Q20" s="821">
        <f t="shared" si="27"/>
        <v>1754688</v>
      </c>
      <c r="R20" s="367">
        <f>'Родительская плата '!N21</f>
        <v>1685528</v>
      </c>
      <c r="S20" s="367">
        <f t="shared" si="8"/>
        <v>69160</v>
      </c>
      <c r="T20" s="812">
        <f t="shared" si="9"/>
        <v>8</v>
      </c>
      <c r="U20" s="812">
        <f t="shared" si="10"/>
        <v>40</v>
      </c>
      <c r="V20" s="812">
        <f t="shared" si="11"/>
        <v>0</v>
      </c>
      <c r="W20" s="812">
        <f t="shared" si="12"/>
        <v>4</v>
      </c>
      <c r="X20" s="812">
        <f t="shared" si="13"/>
        <v>0</v>
      </c>
      <c r="Y20" s="812">
        <f t="shared" si="14"/>
        <v>0</v>
      </c>
      <c r="Z20" s="282">
        <f>'[1]Питание норматив'!$D$38</f>
        <v>26429</v>
      </c>
      <c r="AA20" s="282">
        <f>'[1]Питание норматив'!$G$38</f>
        <v>31369</v>
      </c>
      <c r="AB20" s="91">
        <f t="shared" si="15"/>
        <v>211432</v>
      </c>
      <c r="AC20" s="91">
        <f t="shared" si="16"/>
        <v>1254760</v>
      </c>
      <c r="AD20" s="91">
        <f>V20*Z20</f>
        <v>0</v>
      </c>
      <c r="AE20" s="91">
        <f>W20*AA20</f>
        <v>125476</v>
      </c>
      <c r="AF20" s="91">
        <f>X20*Z20</f>
        <v>0</v>
      </c>
      <c r="AG20" s="91">
        <f>Y20*AA20</f>
        <v>0</v>
      </c>
      <c r="AH20" s="91">
        <f>AB20+AC20+AD20+AE20+AF20+AG20</f>
        <v>1591668</v>
      </c>
      <c r="AI20" s="974">
        <f>'Родительская плата '!U21</f>
        <v>1528930</v>
      </c>
      <c r="AJ20" s="367">
        <f t="shared" si="20"/>
        <v>62738</v>
      </c>
    </row>
    <row r="21" spans="1:36" ht="30.75" customHeight="1" x14ac:dyDescent="0.2">
      <c r="A21" s="6"/>
      <c r="B21" s="820" t="s">
        <v>682</v>
      </c>
      <c r="C21" s="863">
        <f>Численность!AF22+Численность!AH22</f>
        <v>9</v>
      </c>
      <c r="D21" s="812">
        <f>Численность!AG22+Численность!AI22+Численность!AJ22</f>
        <v>35</v>
      </c>
      <c r="E21" s="863">
        <f>Численность!AP22</f>
        <v>0</v>
      </c>
      <c r="F21" s="863">
        <f>Численность!AQ22</f>
        <v>6</v>
      </c>
      <c r="G21" s="863">
        <f>Численность!AK22+Численность!AM22</f>
        <v>1</v>
      </c>
      <c r="H21" s="863">
        <f>Численность!AL22+Численность!AN22+Численность!AO22</f>
        <v>4</v>
      </c>
      <c r="I21" s="821">
        <f>'Питание норматив'!$H$40</f>
        <v>29146</v>
      </c>
      <c r="J21" s="821">
        <f>'Питание норматив'!$K$40</f>
        <v>34580</v>
      </c>
      <c r="K21" s="821">
        <f t="shared" si="21"/>
        <v>262314</v>
      </c>
      <c r="L21" s="821">
        <f t="shared" si="22"/>
        <v>1210300</v>
      </c>
      <c r="M21" s="821">
        <f t="shared" si="23"/>
        <v>0</v>
      </c>
      <c r="N21" s="821">
        <f t="shared" si="24"/>
        <v>207480</v>
      </c>
      <c r="O21" s="821">
        <f t="shared" si="25"/>
        <v>29146</v>
      </c>
      <c r="P21" s="821">
        <f t="shared" si="26"/>
        <v>138320</v>
      </c>
      <c r="Q21" s="821">
        <f t="shared" si="27"/>
        <v>1847560</v>
      </c>
      <c r="R21" s="367">
        <f>'Родительская плата '!N22</f>
        <v>1576354</v>
      </c>
      <c r="S21" s="367">
        <f t="shared" si="8"/>
        <v>271206</v>
      </c>
      <c r="T21" s="812">
        <f t="shared" si="9"/>
        <v>9</v>
      </c>
      <c r="U21" s="812">
        <f t="shared" si="10"/>
        <v>35</v>
      </c>
      <c r="V21" s="812">
        <f t="shared" si="11"/>
        <v>0</v>
      </c>
      <c r="W21" s="812">
        <f t="shared" si="12"/>
        <v>6</v>
      </c>
      <c r="X21" s="812">
        <f t="shared" si="13"/>
        <v>1</v>
      </c>
      <c r="Y21" s="812">
        <f t="shared" si="14"/>
        <v>4</v>
      </c>
      <c r="Z21" s="282">
        <f>'[1]Питание норматив'!$D$38</f>
        <v>26429</v>
      </c>
      <c r="AA21" s="282">
        <f>'[1]Питание норматив'!$G$38</f>
        <v>31369</v>
      </c>
      <c r="AB21" s="91">
        <f t="shared" si="15"/>
        <v>237861</v>
      </c>
      <c r="AC21" s="91">
        <f t="shared" si="16"/>
        <v>1097915</v>
      </c>
      <c r="AD21" s="91">
        <f>V21*Z21</f>
        <v>0</v>
      </c>
      <c r="AE21" s="91">
        <f>W21*AA21</f>
        <v>188214</v>
      </c>
      <c r="AF21" s="91">
        <f>X21*Z21</f>
        <v>26429</v>
      </c>
      <c r="AG21" s="91">
        <f>Y21*AA21</f>
        <v>125476</v>
      </c>
      <c r="AH21" s="91">
        <f>AB21+AC21+AD21+AE21+AF21+AG21</f>
        <v>1675895</v>
      </c>
      <c r="AI21" s="974">
        <f>'Родительская плата '!U22</f>
        <v>1429883</v>
      </c>
      <c r="AJ21" s="367">
        <f t="shared" si="20"/>
        <v>246012</v>
      </c>
    </row>
    <row r="22" spans="1:36" ht="27" customHeight="1" x14ac:dyDescent="0.2">
      <c r="A22" s="6"/>
      <c r="B22" s="820" t="s">
        <v>676</v>
      </c>
      <c r="C22" s="863">
        <f>Численность!AF23+Численность!AH23</f>
        <v>43</v>
      </c>
      <c r="D22" s="812">
        <f>Численность!AG23+Численность!AI23+Численность!AJ23</f>
        <v>154</v>
      </c>
      <c r="E22" s="863">
        <f>Численность!AP23</f>
        <v>0</v>
      </c>
      <c r="F22" s="863">
        <f>Численность!AQ23</f>
        <v>16</v>
      </c>
      <c r="G22" s="863">
        <f>Численность!AK23+Численность!AM23</f>
        <v>1</v>
      </c>
      <c r="H22" s="863">
        <f>Численность!AL23+Численность!AN23+Численность!AO23</f>
        <v>6</v>
      </c>
      <c r="I22" s="821">
        <f>'Питание норматив'!$H$40</f>
        <v>29146</v>
      </c>
      <c r="J22" s="821">
        <f>'Питание норматив'!$K$40</f>
        <v>34580</v>
      </c>
      <c r="K22" s="821">
        <f t="shared" si="21"/>
        <v>1253278</v>
      </c>
      <c r="L22" s="821">
        <f t="shared" si="22"/>
        <v>5325320</v>
      </c>
      <c r="M22" s="821">
        <f t="shared" si="23"/>
        <v>0</v>
      </c>
      <c r="N22" s="821">
        <f t="shared" si="24"/>
        <v>553280</v>
      </c>
      <c r="O22" s="821">
        <f t="shared" si="25"/>
        <v>29146</v>
      </c>
      <c r="P22" s="821">
        <f t="shared" si="26"/>
        <v>207480</v>
      </c>
      <c r="Q22" s="821">
        <f t="shared" si="27"/>
        <v>7368504</v>
      </c>
      <c r="R22" s="367">
        <f>'Родительская плата '!N23</f>
        <v>6855238</v>
      </c>
      <c r="S22" s="367">
        <f t="shared" si="8"/>
        <v>513266</v>
      </c>
      <c r="T22" s="812">
        <f t="shared" si="9"/>
        <v>43</v>
      </c>
      <c r="U22" s="812">
        <f t="shared" si="10"/>
        <v>154</v>
      </c>
      <c r="V22" s="812">
        <f t="shared" si="11"/>
        <v>0</v>
      </c>
      <c r="W22" s="812">
        <f t="shared" si="12"/>
        <v>16</v>
      </c>
      <c r="X22" s="812">
        <f t="shared" si="13"/>
        <v>1</v>
      </c>
      <c r="Y22" s="812">
        <f t="shared" si="14"/>
        <v>6</v>
      </c>
      <c r="Z22" s="282">
        <f>'[1]Питание норматив'!$D$38</f>
        <v>26429</v>
      </c>
      <c r="AA22" s="282">
        <f>'[1]Питание норматив'!$G$38</f>
        <v>31369</v>
      </c>
      <c r="AB22" s="91">
        <f t="shared" si="15"/>
        <v>1136447</v>
      </c>
      <c r="AC22" s="91">
        <f t="shared" si="16"/>
        <v>4830826</v>
      </c>
      <c r="AD22" s="91">
        <f t="shared" ref="AD22:AE28" si="28">V22*Z22</f>
        <v>0</v>
      </c>
      <c r="AE22" s="91">
        <f t="shared" si="28"/>
        <v>501904</v>
      </c>
      <c r="AF22" s="91">
        <f t="shared" ref="AF22:AG28" si="29">X22*Z22</f>
        <v>26429</v>
      </c>
      <c r="AG22" s="91">
        <f t="shared" si="29"/>
        <v>188214</v>
      </c>
      <c r="AH22" s="91">
        <f t="shared" si="19"/>
        <v>6683820</v>
      </c>
      <c r="AI22" s="974">
        <f>'Родительская плата '!U23</f>
        <v>6218225</v>
      </c>
      <c r="AJ22" s="367">
        <f t="shared" si="20"/>
        <v>465595</v>
      </c>
    </row>
    <row r="23" spans="1:36" ht="27" customHeight="1" x14ac:dyDescent="0.2">
      <c r="A23" s="6"/>
      <c r="B23" s="820" t="s">
        <v>677</v>
      </c>
      <c r="C23" s="863">
        <f>Численность!AF24+Численность!AH24</f>
        <v>6</v>
      </c>
      <c r="D23" s="812">
        <f>Численность!AG24+Численность!AI24+Численность!AJ24</f>
        <v>36</v>
      </c>
      <c r="E23" s="863">
        <f>Численность!AP24</f>
        <v>0</v>
      </c>
      <c r="F23" s="863">
        <f>Численность!AQ24</f>
        <v>6</v>
      </c>
      <c r="G23" s="863">
        <f>Численность!AK24+Численность!AM24</f>
        <v>0</v>
      </c>
      <c r="H23" s="863">
        <f>Численность!AL24+Численность!AN24+Численность!AO24</f>
        <v>0</v>
      </c>
      <c r="I23" s="821">
        <f>'Питание норматив'!$H$40</f>
        <v>29146</v>
      </c>
      <c r="J23" s="821">
        <f>'Питание норматив'!$K$40</f>
        <v>34580</v>
      </c>
      <c r="K23" s="821">
        <f t="shared" si="21"/>
        <v>174876</v>
      </c>
      <c r="L23" s="821">
        <f t="shared" si="22"/>
        <v>1244880</v>
      </c>
      <c r="M23" s="821">
        <f t="shared" si="23"/>
        <v>0</v>
      </c>
      <c r="N23" s="821">
        <f t="shared" si="24"/>
        <v>207480</v>
      </c>
      <c r="O23" s="821">
        <f t="shared" si="25"/>
        <v>0</v>
      </c>
      <c r="P23" s="821">
        <f t="shared" si="26"/>
        <v>0</v>
      </c>
      <c r="Q23" s="821">
        <f t="shared" si="27"/>
        <v>1627236</v>
      </c>
      <c r="R23" s="367">
        <f>'Родительская плата '!N24</f>
        <v>1523496</v>
      </c>
      <c r="S23" s="367">
        <f t="shared" si="8"/>
        <v>103740</v>
      </c>
      <c r="T23" s="812">
        <f t="shared" si="9"/>
        <v>6</v>
      </c>
      <c r="U23" s="812">
        <f t="shared" si="10"/>
        <v>36</v>
      </c>
      <c r="V23" s="812">
        <f t="shared" si="11"/>
        <v>0</v>
      </c>
      <c r="W23" s="812">
        <f t="shared" si="12"/>
        <v>6</v>
      </c>
      <c r="X23" s="812">
        <f t="shared" si="13"/>
        <v>0</v>
      </c>
      <c r="Y23" s="812">
        <f t="shared" si="14"/>
        <v>0</v>
      </c>
      <c r="Z23" s="282">
        <f>'[1]Питание норматив'!$D$38</f>
        <v>26429</v>
      </c>
      <c r="AA23" s="282">
        <f>'[1]Питание норматив'!$G$38</f>
        <v>31369</v>
      </c>
      <c r="AB23" s="91">
        <f t="shared" si="15"/>
        <v>158574</v>
      </c>
      <c r="AC23" s="91">
        <f t="shared" si="16"/>
        <v>1129284</v>
      </c>
      <c r="AD23" s="91">
        <f t="shared" si="28"/>
        <v>0</v>
      </c>
      <c r="AE23" s="91">
        <f t="shared" si="28"/>
        <v>188214</v>
      </c>
      <c r="AF23" s="91">
        <f t="shared" si="29"/>
        <v>0</v>
      </c>
      <c r="AG23" s="91">
        <f t="shared" si="29"/>
        <v>0</v>
      </c>
      <c r="AH23" s="91">
        <f t="shared" si="19"/>
        <v>1476072</v>
      </c>
      <c r="AI23" s="974">
        <f>'Родительская плата '!U24</f>
        <v>1381965</v>
      </c>
      <c r="AJ23" s="367">
        <f t="shared" si="20"/>
        <v>94107</v>
      </c>
    </row>
    <row r="24" spans="1:36" ht="27" customHeight="1" x14ac:dyDescent="0.2">
      <c r="A24" s="6"/>
      <c r="B24" s="820" t="s">
        <v>678</v>
      </c>
      <c r="C24" s="863">
        <f>Численность!AF25+Численность!AH25</f>
        <v>6</v>
      </c>
      <c r="D24" s="812">
        <f>Численность!AG25+Численность!AI25+Численность!AJ25</f>
        <v>49</v>
      </c>
      <c r="E24" s="863">
        <f>Численность!AP25</f>
        <v>0</v>
      </c>
      <c r="F24" s="863">
        <f>Численность!AQ25</f>
        <v>8</v>
      </c>
      <c r="G24" s="863">
        <f>Численность!AK25+Численность!AM25</f>
        <v>0</v>
      </c>
      <c r="H24" s="863">
        <f>Численность!AL25+Численность!AN25+Численность!AO25</f>
        <v>1</v>
      </c>
      <c r="I24" s="821">
        <f>'Питание норматив'!$H$40</f>
        <v>29146</v>
      </c>
      <c r="J24" s="821">
        <f>'Питание норматив'!$K$40</f>
        <v>34580</v>
      </c>
      <c r="K24" s="821">
        <f t="shared" si="21"/>
        <v>174876</v>
      </c>
      <c r="L24" s="821">
        <f t="shared" si="22"/>
        <v>1694420</v>
      </c>
      <c r="M24" s="821">
        <f t="shared" si="23"/>
        <v>0</v>
      </c>
      <c r="N24" s="821">
        <f t="shared" si="24"/>
        <v>276640</v>
      </c>
      <c r="O24" s="821">
        <f t="shared" si="25"/>
        <v>0</v>
      </c>
      <c r="P24" s="821">
        <f t="shared" si="26"/>
        <v>34580</v>
      </c>
      <c r="Q24" s="821">
        <f t="shared" si="27"/>
        <v>2180516</v>
      </c>
      <c r="R24" s="367">
        <f>'Родительская плата '!N25</f>
        <v>2007616</v>
      </c>
      <c r="S24" s="367">
        <f t="shared" si="8"/>
        <v>172900</v>
      </c>
      <c r="T24" s="812">
        <f t="shared" si="9"/>
        <v>6</v>
      </c>
      <c r="U24" s="812">
        <f t="shared" si="10"/>
        <v>49</v>
      </c>
      <c r="V24" s="812">
        <f t="shared" si="11"/>
        <v>0</v>
      </c>
      <c r="W24" s="812">
        <f t="shared" si="12"/>
        <v>8</v>
      </c>
      <c r="X24" s="812">
        <f t="shared" si="13"/>
        <v>0</v>
      </c>
      <c r="Y24" s="812">
        <f t="shared" si="14"/>
        <v>1</v>
      </c>
      <c r="Z24" s="282">
        <f>'[1]Питание норматив'!$D$38</f>
        <v>26429</v>
      </c>
      <c r="AA24" s="282">
        <f>'[1]Питание норматив'!$G$38</f>
        <v>31369</v>
      </c>
      <c r="AB24" s="91">
        <f t="shared" si="15"/>
        <v>158574</v>
      </c>
      <c r="AC24" s="91">
        <f t="shared" si="16"/>
        <v>1537081</v>
      </c>
      <c r="AD24" s="91">
        <f t="shared" si="28"/>
        <v>0</v>
      </c>
      <c r="AE24" s="91">
        <f t="shared" si="28"/>
        <v>250952</v>
      </c>
      <c r="AF24" s="91">
        <f t="shared" si="29"/>
        <v>0</v>
      </c>
      <c r="AG24" s="91">
        <f t="shared" si="29"/>
        <v>31369</v>
      </c>
      <c r="AH24" s="91">
        <f t="shared" si="19"/>
        <v>1977976</v>
      </c>
      <c r="AI24" s="974">
        <f>'Родительская плата '!U25</f>
        <v>1821131</v>
      </c>
      <c r="AJ24" s="367">
        <f t="shared" si="20"/>
        <v>156845</v>
      </c>
    </row>
    <row r="25" spans="1:36" ht="27" customHeight="1" x14ac:dyDescent="0.2">
      <c r="A25" s="6"/>
      <c r="B25" s="820" t="s">
        <v>683</v>
      </c>
      <c r="C25" s="863">
        <f>Численность!AF26+Численность!AH26</f>
        <v>13</v>
      </c>
      <c r="D25" s="812">
        <f>Численность!AG26+Численность!AI26+Численность!AJ26</f>
        <v>20</v>
      </c>
      <c r="E25" s="863">
        <f>Численность!AP26</f>
        <v>0</v>
      </c>
      <c r="F25" s="863">
        <f>Численность!AQ26</f>
        <v>1</v>
      </c>
      <c r="G25" s="863">
        <f>Численность!AK26+Численность!AM26</f>
        <v>0</v>
      </c>
      <c r="H25" s="863">
        <f>Численность!AL26+Численность!AN26+Численность!AO26</f>
        <v>1</v>
      </c>
      <c r="I25" s="821">
        <f>'Питание норматив'!$H$40</f>
        <v>29146</v>
      </c>
      <c r="J25" s="821">
        <f>'Питание норматив'!$K$40</f>
        <v>34580</v>
      </c>
      <c r="K25" s="821">
        <f t="shared" si="21"/>
        <v>378898</v>
      </c>
      <c r="L25" s="821">
        <f t="shared" si="22"/>
        <v>691600</v>
      </c>
      <c r="M25" s="821">
        <f t="shared" si="23"/>
        <v>0</v>
      </c>
      <c r="N25" s="821">
        <f t="shared" si="24"/>
        <v>34580</v>
      </c>
      <c r="O25" s="821">
        <f t="shared" si="25"/>
        <v>0</v>
      </c>
      <c r="P25" s="821">
        <f t="shared" si="26"/>
        <v>34580</v>
      </c>
      <c r="Q25" s="821">
        <f t="shared" si="27"/>
        <v>1139658</v>
      </c>
      <c r="R25" s="367">
        <f>'Родительская плата '!N26</f>
        <v>1087788</v>
      </c>
      <c r="S25" s="367">
        <f t="shared" si="8"/>
        <v>51870</v>
      </c>
      <c r="T25" s="812">
        <f t="shared" si="9"/>
        <v>13</v>
      </c>
      <c r="U25" s="812">
        <f t="shared" si="10"/>
        <v>20</v>
      </c>
      <c r="V25" s="812">
        <f t="shared" si="11"/>
        <v>0</v>
      </c>
      <c r="W25" s="812">
        <f t="shared" si="12"/>
        <v>1</v>
      </c>
      <c r="X25" s="812">
        <f t="shared" si="13"/>
        <v>0</v>
      </c>
      <c r="Y25" s="812">
        <f t="shared" si="14"/>
        <v>1</v>
      </c>
      <c r="Z25" s="282">
        <f>'[1]Питание норматив'!$D$38</f>
        <v>26429</v>
      </c>
      <c r="AA25" s="282">
        <f>'[1]Питание норматив'!$G$38</f>
        <v>31369</v>
      </c>
      <c r="AB25" s="91">
        <f t="shared" si="15"/>
        <v>343577</v>
      </c>
      <c r="AC25" s="91">
        <f t="shared" si="16"/>
        <v>627380</v>
      </c>
      <c r="AD25" s="91">
        <f>V25*Z25</f>
        <v>0</v>
      </c>
      <c r="AE25" s="91">
        <f>W25*AA25</f>
        <v>31369</v>
      </c>
      <c r="AF25" s="91">
        <f>X25*Z25</f>
        <v>0</v>
      </c>
      <c r="AG25" s="91">
        <f>Y25*AA25</f>
        <v>31369</v>
      </c>
      <c r="AH25" s="91">
        <f>AB25+AC25+AD25+AE25+AF25+AG25</f>
        <v>1033695</v>
      </c>
      <c r="AI25" s="974">
        <f>'Родительская плата '!U26</f>
        <v>986642</v>
      </c>
      <c r="AJ25" s="367">
        <f t="shared" si="20"/>
        <v>47053</v>
      </c>
    </row>
    <row r="26" spans="1:36" ht="27" customHeight="1" x14ac:dyDescent="0.2">
      <c r="A26" s="6"/>
      <c r="B26" s="820" t="s">
        <v>679</v>
      </c>
      <c r="C26" s="863">
        <f>Численность!AF27+Численность!AH27</f>
        <v>8</v>
      </c>
      <c r="D26" s="812">
        <f>Численность!AG27+Численность!AI27+Численность!AJ27</f>
        <v>29</v>
      </c>
      <c r="E26" s="863">
        <f>Численность!AP27</f>
        <v>0</v>
      </c>
      <c r="F26" s="863">
        <f>Численность!AQ27</f>
        <v>3</v>
      </c>
      <c r="G26" s="863">
        <f>Численность!AK27+Численность!AM27</f>
        <v>0</v>
      </c>
      <c r="H26" s="863">
        <f>Численность!AL27+Численность!AN27+Численность!AO27</f>
        <v>1</v>
      </c>
      <c r="I26" s="821">
        <f>'Питание норматив'!$H$40</f>
        <v>29146</v>
      </c>
      <c r="J26" s="821">
        <f>'Питание норматив'!$K$40</f>
        <v>34580</v>
      </c>
      <c r="K26" s="821">
        <f t="shared" si="21"/>
        <v>233168</v>
      </c>
      <c r="L26" s="821">
        <f t="shared" si="22"/>
        <v>1002820</v>
      </c>
      <c r="M26" s="821">
        <f t="shared" si="23"/>
        <v>0</v>
      </c>
      <c r="N26" s="821">
        <f t="shared" si="24"/>
        <v>103740</v>
      </c>
      <c r="O26" s="821">
        <f t="shared" si="25"/>
        <v>0</v>
      </c>
      <c r="P26" s="821">
        <f t="shared" si="26"/>
        <v>34580</v>
      </c>
      <c r="Q26" s="821">
        <f t="shared" si="27"/>
        <v>1374308</v>
      </c>
      <c r="R26" s="367">
        <f>'Родительская плата '!N27</f>
        <v>1287858</v>
      </c>
      <c r="S26" s="367">
        <f t="shared" si="8"/>
        <v>86450</v>
      </c>
      <c r="T26" s="812">
        <f t="shared" si="9"/>
        <v>8</v>
      </c>
      <c r="U26" s="812">
        <f t="shared" si="10"/>
        <v>29</v>
      </c>
      <c r="V26" s="812">
        <f t="shared" si="11"/>
        <v>0</v>
      </c>
      <c r="W26" s="812">
        <f t="shared" si="12"/>
        <v>3</v>
      </c>
      <c r="X26" s="812">
        <f t="shared" si="13"/>
        <v>0</v>
      </c>
      <c r="Y26" s="812">
        <f t="shared" si="14"/>
        <v>1</v>
      </c>
      <c r="Z26" s="282">
        <f>'[1]Питание норматив'!$D$38</f>
        <v>26429</v>
      </c>
      <c r="AA26" s="282">
        <f>'[1]Питание норматив'!$G$38</f>
        <v>31369</v>
      </c>
      <c r="AB26" s="91">
        <f t="shared" si="15"/>
        <v>211432</v>
      </c>
      <c r="AC26" s="91">
        <f t="shared" si="16"/>
        <v>909701</v>
      </c>
      <c r="AD26" s="91">
        <f t="shared" si="28"/>
        <v>0</v>
      </c>
      <c r="AE26" s="91">
        <f t="shared" si="28"/>
        <v>94107</v>
      </c>
      <c r="AF26" s="91">
        <f t="shared" si="29"/>
        <v>0</v>
      </c>
      <c r="AG26" s="91">
        <f t="shared" si="29"/>
        <v>31369</v>
      </c>
      <c r="AH26" s="91">
        <f t="shared" si="19"/>
        <v>1246609</v>
      </c>
      <c r="AI26" s="974">
        <f>'Родительская плата '!U27</f>
        <v>1168187</v>
      </c>
      <c r="AJ26" s="367">
        <f t="shared" si="20"/>
        <v>78422</v>
      </c>
    </row>
    <row r="27" spans="1:36" ht="27" customHeight="1" x14ac:dyDescent="0.2">
      <c r="A27" s="6"/>
      <c r="B27" s="820" t="s">
        <v>684</v>
      </c>
      <c r="C27" s="863">
        <f>Численность!AF28+Численность!AH28</f>
        <v>0</v>
      </c>
      <c r="D27" s="812">
        <f>Численность!AG28+Численность!AI28+Численность!AJ28</f>
        <v>58</v>
      </c>
      <c r="E27" s="863">
        <f>Численность!AP28</f>
        <v>0</v>
      </c>
      <c r="F27" s="863">
        <f>Численность!AQ28</f>
        <v>10</v>
      </c>
      <c r="G27" s="863">
        <f>Численность!AK28+Численность!AM28</f>
        <v>0</v>
      </c>
      <c r="H27" s="863">
        <f>Численность!AL28+Численность!AN28+Численность!AO28</f>
        <v>2</v>
      </c>
      <c r="I27" s="821">
        <f>'Питание норматив'!$H$40</f>
        <v>29146</v>
      </c>
      <c r="J27" s="821">
        <f>'Питание норматив'!$K$40</f>
        <v>34580</v>
      </c>
      <c r="K27" s="821">
        <f t="shared" si="21"/>
        <v>0</v>
      </c>
      <c r="L27" s="821">
        <f t="shared" si="22"/>
        <v>2005640</v>
      </c>
      <c r="M27" s="821">
        <f t="shared" si="23"/>
        <v>0</v>
      </c>
      <c r="N27" s="821">
        <f t="shared" si="24"/>
        <v>345800</v>
      </c>
      <c r="O27" s="821">
        <f t="shared" si="25"/>
        <v>0</v>
      </c>
      <c r="P27" s="821">
        <f t="shared" si="26"/>
        <v>69160</v>
      </c>
      <c r="Q27" s="821">
        <f t="shared" si="27"/>
        <v>2420600</v>
      </c>
      <c r="R27" s="367">
        <f>'Родительская плата '!N28</f>
        <v>2178540</v>
      </c>
      <c r="S27" s="367">
        <f t="shared" si="8"/>
        <v>242060</v>
      </c>
      <c r="T27" s="812">
        <f t="shared" si="9"/>
        <v>0</v>
      </c>
      <c r="U27" s="812">
        <f t="shared" si="10"/>
        <v>58</v>
      </c>
      <c r="V27" s="812">
        <f t="shared" si="11"/>
        <v>0</v>
      </c>
      <c r="W27" s="812">
        <f t="shared" si="12"/>
        <v>10</v>
      </c>
      <c r="X27" s="812">
        <f t="shared" si="13"/>
        <v>0</v>
      </c>
      <c r="Y27" s="812">
        <f t="shared" si="14"/>
        <v>2</v>
      </c>
      <c r="Z27" s="282">
        <f>'[1]Питание норматив'!$D$38</f>
        <v>26429</v>
      </c>
      <c r="AA27" s="282">
        <f>'[1]Питание норматив'!$G$38</f>
        <v>31369</v>
      </c>
      <c r="AB27" s="91">
        <f t="shared" si="15"/>
        <v>0</v>
      </c>
      <c r="AC27" s="91">
        <f t="shared" si="16"/>
        <v>1819402</v>
      </c>
      <c r="AD27" s="91">
        <f>V27*Z27</f>
        <v>0</v>
      </c>
      <c r="AE27" s="91">
        <f>W27*AA27</f>
        <v>313690</v>
      </c>
      <c r="AF27" s="91">
        <f>X27*Z27</f>
        <v>0</v>
      </c>
      <c r="AG27" s="91">
        <f>Y27*AA27</f>
        <v>62738</v>
      </c>
      <c r="AH27" s="91">
        <f>AB27+AC27+AD27+AE27+AF27+AG27</f>
        <v>2195830</v>
      </c>
      <c r="AI27" s="974">
        <f>'Родительская плата '!U28</f>
        <v>1976247</v>
      </c>
      <c r="AJ27" s="367">
        <f t="shared" si="20"/>
        <v>219583</v>
      </c>
    </row>
    <row r="28" spans="1:36" ht="27" customHeight="1" x14ac:dyDescent="0.2">
      <c r="A28" s="6"/>
      <c r="B28" s="820" t="s">
        <v>680</v>
      </c>
      <c r="C28" s="863">
        <f>Численность!AF29+Численность!AH29</f>
        <v>13</v>
      </c>
      <c r="D28" s="812">
        <f>Численность!AG29+Численность!AI29+Численность!AJ29</f>
        <v>44</v>
      </c>
      <c r="E28" s="863">
        <f>Численность!AP29</f>
        <v>1</v>
      </c>
      <c r="F28" s="863">
        <f>Численность!AQ29</f>
        <v>5</v>
      </c>
      <c r="G28" s="863">
        <f>Численность!AK29+Численность!AM29</f>
        <v>1</v>
      </c>
      <c r="H28" s="863">
        <f>Численность!AL29+Численность!AN29+Численность!AO29</f>
        <v>1</v>
      </c>
      <c r="I28" s="821">
        <f>'Питание норматив'!$H$40</f>
        <v>29146</v>
      </c>
      <c r="J28" s="821">
        <f>'Питание норматив'!$K$40</f>
        <v>34580</v>
      </c>
      <c r="K28" s="821">
        <f t="shared" si="21"/>
        <v>378898</v>
      </c>
      <c r="L28" s="821">
        <f t="shared" si="22"/>
        <v>1521520</v>
      </c>
      <c r="M28" s="821">
        <f t="shared" si="23"/>
        <v>29146</v>
      </c>
      <c r="N28" s="821">
        <f t="shared" si="24"/>
        <v>172900</v>
      </c>
      <c r="O28" s="821">
        <f t="shared" si="25"/>
        <v>29146</v>
      </c>
      <c r="P28" s="821">
        <f t="shared" si="26"/>
        <v>34580</v>
      </c>
      <c r="Q28" s="821">
        <f t="shared" si="27"/>
        <v>2166190</v>
      </c>
      <c r="R28" s="367">
        <f>'Родительская плата '!N29</f>
        <v>2001441</v>
      </c>
      <c r="S28" s="367">
        <f t="shared" si="8"/>
        <v>164749</v>
      </c>
      <c r="T28" s="812">
        <f t="shared" si="9"/>
        <v>13</v>
      </c>
      <c r="U28" s="812">
        <f t="shared" si="10"/>
        <v>44</v>
      </c>
      <c r="V28" s="812">
        <f t="shared" si="11"/>
        <v>1</v>
      </c>
      <c r="W28" s="812">
        <f t="shared" si="12"/>
        <v>5</v>
      </c>
      <c r="X28" s="812">
        <f t="shared" si="13"/>
        <v>1</v>
      </c>
      <c r="Y28" s="812">
        <f t="shared" si="14"/>
        <v>1</v>
      </c>
      <c r="Z28" s="282">
        <f>'[1]Питание норматив'!$D$38</f>
        <v>26429</v>
      </c>
      <c r="AA28" s="282">
        <f>'[1]Питание норматив'!$G$38</f>
        <v>31369</v>
      </c>
      <c r="AB28" s="91">
        <f t="shared" si="15"/>
        <v>343577</v>
      </c>
      <c r="AC28" s="91">
        <f t="shared" si="16"/>
        <v>1380236</v>
      </c>
      <c r="AD28" s="91">
        <f t="shared" si="28"/>
        <v>26429</v>
      </c>
      <c r="AE28" s="91">
        <f t="shared" si="28"/>
        <v>156845</v>
      </c>
      <c r="AF28" s="91">
        <f t="shared" si="29"/>
        <v>26429</v>
      </c>
      <c r="AG28" s="91">
        <f t="shared" si="29"/>
        <v>31369</v>
      </c>
      <c r="AH28" s="91">
        <f t="shared" si="19"/>
        <v>1964885</v>
      </c>
      <c r="AI28" s="974">
        <f>'Родительская плата '!U29</f>
        <v>1815451</v>
      </c>
      <c r="AJ28" s="367">
        <f t="shared" si="20"/>
        <v>149434</v>
      </c>
    </row>
    <row r="29" spans="1:36" x14ac:dyDescent="0.2">
      <c r="A29" s="33"/>
      <c r="B29" s="325" t="s">
        <v>1</v>
      </c>
      <c r="C29" s="822">
        <f t="shared" ref="C29:P29" si="30">SUM(C5:C28)</f>
        <v>574</v>
      </c>
      <c r="D29" s="822">
        <f t="shared" si="30"/>
        <v>2306</v>
      </c>
      <c r="E29" s="822">
        <f t="shared" si="30"/>
        <v>4</v>
      </c>
      <c r="F29" s="822">
        <f t="shared" si="30"/>
        <v>330</v>
      </c>
      <c r="G29" s="822">
        <f t="shared" si="30"/>
        <v>5</v>
      </c>
      <c r="H29" s="822">
        <f t="shared" si="30"/>
        <v>57</v>
      </c>
      <c r="I29" s="822">
        <f t="shared" si="30"/>
        <v>699504</v>
      </c>
      <c r="J29" s="822">
        <f t="shared" si="30"/>
        <v>829920</v>
      </c>
      <c r="K29" s="822">
        <f t="shared" si="30"/>
        <v>16729804</v>
      </c>
      <c r="L29" s="822">
        <f t="shared" si="30"/>
        <v>79741480</v>
      </c>
      <c r="M29" s="822">
        <f t="shared" si="30"/>
        <v>116584</v>
      </c>
      <c r="N29" s="822">
        <f t="shared" si="30"/>
        <v>11411400</v>
      </c>
      <c r="O29" s="822">
        <f t="shared" si="30"/>
        <v>145730</v>
      </c>
      <c r="P29" s="822">
        <f t="shared" si="30"/>
        <v>1971060</v>
      </c>
      <c r="Q29" s="822">
        <f>SUM(Q5:Q28)</f>
        <v>110116058</v>
      </c>
      <c r="R29" s="367"/>
      <c r="S29" s="983">
        <f>SUM(S5:S28)</f>
        <v>7880782</v>
      </c>
      <c r="T29" s="976">
        <f>SUM(T5:T28)</f>
        <v>574</v>
      </c>
      <c r="U29" s="976">
        <f t="shared" ref="U29:Y29" si="31">SUM(U5:U28)</f>
        <v>2306</v>
      </c>
      <c r="V29" s="976">
        <f t="shared" si="31"/>
        <v>4</v>
      </c>
      <c r="W29" s="976">
        <f t="shared" si="31"/>
        <v>330</v>
      </c>
      <c r="X29" s="976">
        <f t="shared" si="31"/>
        <v>5</v>
      </c>
      <c r="Y29" s="976">
        <f t="shared" si="31"/>
        <v>57</v>
      </c>
      <c r="Z29" s="972"/>
      <c r="AA29" s="972"/>
      <c r="AB29" s="973">
        <f>SUM(AB5:AB28)</f>
        <v>15170246</v>
      </c>
      <c r="AC29" s="973">
        <f t="shared" ref="AC29:AH29" si="32">SUM(AC5:AC28)</f>
        <v>72336914</v>
      </c>
      <c r="AD29" s="973">
        <f>SUM(AD5:AD28)</f>
        <v>105716</v>
      </c>
      <c r="AE29" s="973">
        <f t="shared" si="32"/>
        <v>10351770</v>
      </c>
      <c r="AF29" s="973">
        <f t="shared" si="32"/>
        <v>132145</v>
      </c>
      <c r="AG29" s="973">
        <f t="shared" si="32"/>
        <v>1788033</v>
      </c>
      <c r="AH29" s="973">
        <f t="shared" si="32"/>
        <v>99884824</v>
      </c>
      <c r="AI29" s="975">
        <f>SUM(AI5:AI28)</f>
        <v>92735911</v>
      </c>
      <c r="AJ29" s="984">
        <f>SUM(AJ5:AJ28)</f>
        <v>7148913</v>
      </c>
    </row>
    <row r="30" spans="1:36" x14ac:dyDescent="0.2">
      <c r="C30" s="286"/>
      <c r="M30" s="286"/>
      <c r="T30" s="971"/>
      <c r="U30" s="971"/>
      <c r="V30" s="971"/>
      <c r="W30" s="971"/>
      <c r="X30" s="971"/>
      <c r="Y30" s="971"/>
      <c r="Z30" s="971"/>
      <c r="AA30" s="971"/>
      <c r="AB30" s="971"/>
      <c r="AC30" s="971"/>
      <c r="AD30" s="971"/>
      <c r="AE30" s="971"/>
      <c r="AF30" s="971"/>
      <c r="AG30" s="971"/>
      <c r="AH30" s="971"/>
      <c r="AI30" s="971"/>
    </row>
    <row r="31" spans="1:36" x14ac:dyDescent="0.2">
      <c r="B31" s="8" t="s">
        <v>754</v>
      </c>
      <c r="C31" s="72"/>
      <c r="S31" s="981">
        <f>ROUND(S29-AJ29,-2)</f>
        <v>731900</v>
      </c>
      <c r="T31" s="971"/>
      <c r="U31" s="971"/>
      <c r="V31" s="971"/>
      <c r="W31" s="971"/>
      <c r="X31" s="971"/>
      <c r="Y31" s="971"/>
      <c r="Z31" s="971"/>
      <c r="AA31" s="971"/>
      <c r="AB31" s="971"/>
      <c r="AC31" s="971"/>
      <c r="AD31" s="971"/>
      <c r="AE31" s="971"/>
      <c r="AF31" s="971"/>
      <c r="AG31" s="971"/>
      <c r="AH31" s="971"/>
      <c r="AI31" s="971"/>
    </row>
    <row r="32" spans="1:36" x14ac:dyDescent="0.2">
      <c r="T32" s="971"/>
      <c r="U32" s="971"/>
      <c r="V32" s="971"/>
      <c r="W32" s="971"/>
      <c r="X32" s="971"/>
      <c r="Y32" s="971"/>
      <c r="Z32" s="971"/>
      <c r="AA32" s="971"/>
      <c r="AB32" s="971"/>
      <c r="AC32" s="971"/>
      <c r="AD32" s="971"/>
      <c r="AE32" s="971"/>
      <c r="AF32" s="971"/>
      <c r="AG32" s="971"/>
      <c r="AH32" s="971"/>
      <c r="AI32" s="971"/>
    </row>
  </sheetData>
  <mergeCells count="19">
    <mergeCell ref="AB3:AC3"/>
    <mergeCell ref="AD3:AE3"/>
    <mergeCell ref="AF3:AG3"/>
    <mergeCell ref="AH3:AH4"/>
    <mergeCell ref="T1:AA1"/>
    <mergeCell ref="E1:J1"/>
    <mergeCell ref="A2:A4"/>
    <mergeCell ref="B2:B4"/>
    <mergeCell ref="Q3:Q4"/>
    <mergeCell ref="M3:N3"/>
    <mergeCell ref="O3:P3"/>
    <mergeCell ref="K2:Q2"/>
    <mergeCell ref="C2:H2"/>
    <mergeCell ref="C3:D3"/>
    <mergeCell ref="E3:F3"/>
    <mergeCell ref="G3:H3"/>
    <mergeCell ref="I2:J3"/>
    <mergeCell ref="K3:L3"/>
    <mergeCell ref="Z2:AA3"/>
  </mergeCells>
  <pageMargins left="0.7" right="0.7" top="0.75" bottom="0.75" header="0.3" footer="0.3"/>
  <pageSetup paperSize="9" scale="48" orientation="landscape" r:id="rId1"/>
  <colBreaks count="2" manualBreakCount="2">
    <brk id="17" max="1048575" man="1"/>
    <brk id="36" max="30" man="1"/>
  </colBreak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rgb="FF92D050"/>
    <pageSetUpPr fitToPage="1"/>
  </sheetPr>
  <dimension ref="A1:HK30"/>
  <sheetViews>
    <sheetView view="pageBreakPreview" zoomScaleNormal="90" zoomScaleSheetLayoutView="100" workbookViewId="0">
      <pane xSplit="1" ySplit="4" topLeftCell="H5" activePane="bottomRight" state="frozen"/>
      <selection activeCell="E23" sqref="E23"/>
      <selection pane="topRight" activeCell="E23" sqref="E23"/>
      <selection pane="bottomLeft" activeCell="E23" sqref="E23"/>
      <selection pane="bottomRight" activeCell="U31" sqref="U31"/>
    </sheetView>
  </sheetViews>
  <sheetFormatPr defaultColWidth="11.85546875" defaultRowHeight="12.75" x14ac:dyDescent="0.2"/>
  <cols>
    <col min="1" max="1" width="48.28515625" style="8" customWidth="1"/>
    <col min="2" max="7" width="13.5703125" style="8"/>
    <col min="8" max="8" width="12.5703125" style="8" customWidth="1"/>
    <col min="9" max="9" width="12.85546875" style="8" customWidth="1"/>
    <col min="10" max="13" width="11.85546875" style="8"/>
    <col min="14" max="14" width="13.42578125" style="8" customWidth="1"/>
    <col min="15" max="21" width="15.5703125" style="8" customWidth="1"/>
    <col min="22" max="22" width="6.140625" style="8" customWidth="1"/>
    <col min="23" max="23" width="11.85546875" style="8" customWidth="1"/>
    <col min="24" max="24" width="20.7109375" style="8" customWidth="1"/>
    <col min="25" max="16384" width="11.85546875" style="8"/>
  </cols>
  <sheetData>
    <row r="1" spans="1:219" x14ac:dyDescent="0.2">
      <c r="A1" s="566" t="s">
        <v>709</v>
      </c>
    </row>
    <row r="2" spans="1:219" ht="12.75" customHeight="1" x14ac:dyDescent="0.2">
      <c r="A2" s="1207" t="s">
        <v>132</v>
      </c>
      <c r="B2" s="1223" t="s">
        <v>710</v>
      </c>
      <c r="C2" s="1224"/>
      <c r="D2" s="1224"/>
      <c r="E2" s="1224"/>
      <c r="F2" s="1224"/>
      <c r="G2" s="1224"/>
      <c r="H2" s="1221" t="s">
        <v>296</v>
      </c>
      <c r="I2" s="1221"/>
      <c r="J2" s="1221"/>
      <c r="K2" s="1221"/>
      <c r="L2" s="1221"/>
      <c r="M2" s="1221"/>
      <c r="N2" s="1221"/>
      <c r="O2" s="1221" t="s">
        <v>296</v>
      </c>
      <c r="P2" s="1221"/>
      <c r="Q2" s="1221"/>
      <c r="R2" s="1221"/>
      <c r="S2" s="1221"/>
      <c r="T2" s="1221"/>
      <c r="U2" s="1221"/>
      <c r="V2" s="288">
        <v>1</v>
      </c>
      <c r="W2" s="5" t="s">
        <v>141</v>
      </c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</row>
    <row r="3" spans="1:219" ht="15.6" customHeight="1" x14ac:dyDescent="0.2">
      <c r="A3" s="1207"/>
      <c r="B3" s="1224"/>
      <c r="C3" s="1224"/>
      <c r="D3" s="1224"/>
      <c r="E3" s="1224"/>
      <c r="F3" s="1224"/>
      <c r="G3" s="1224"/>
      <c r="H3" s="977">
        <f>'Питание норматив'!G40</f>
        <v>118</v>
      </c>
      <c r="I3" s="978">
        <f>'Питание норматив'!J40</f>
        <v>140</v>
      </c>
      <c r="J3" s="977">
        <f>'Питание норматив'!G40</f>
        <v>118</v>
      </c>
      <c r="K3" s="978">
        <f>'Питание норматив'!J40</f>
        <v>140</v>
      </c>
      <c r="L3" s="977">
        <f>'Питание норматив'!G40</f>
        <v>118</v>
      </c>
      <c r="M3" s="978">
        <f>'Питание норматив'!J40</f>
        <v>140</v>
      </c>
      <c r="N3" s="1221" t="s">
        <v>1</v>
      </c>
      <c r="O3" s="979">
        <v>107</v>
      </c>
      <c r="P3" s="980">
        <v>127</v>
      </c>
      <c r="Q3" s="979">
        <v>107</v>
      </c>
      <c r="R3" s="980">
        <v>127</v>
      </c>
      <c r="S3" s="979">
        <v>107</v>
      </c>
      <c r="T3" s="980">
        <v>127</v>
      </c>
      <c r="U3" s="1221" t="s">
        <v>1</v>
      </c>
      <c r="V3" s="65">
        <v>0.5</v>
      </c>
      <c r="W3" s="5" t="s">
        <v>141</v>
      </c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</row>
    <row r="4" spans="1:219" ht="38.25" customHeight="1" x14ac:dyDescent="0.2">
      <c r="A4" s="1207"/>
      <c r="B4" s="1221" t="s">
        <v>293</v>
      </c>
      <c r="C4" s="1221"/>
      <c r="D4" s="1221" t="s">
        <v>294</v>
      </c>
      <c r="E4" s="1221"/>
      <c r="F4" s="1221" t="s">
        <v>295</v>
      </c>
      <c r="G4" s="1221"/>
      <c r="H4" s="1221" t="s">
        <v>293</v>
      </c>
      <c r="I4" s="1221"/>
      <c r="J4" s="1221" t="s">
        <v>294</v>
      </c>
      <c r="K4" s="1221"/>
      <c r="L4" s="1221" t="s">
        <v>295</v>
      </c>
      <c r="M4" s="1221"/>
      <c r="N4" s="1222"/>
      <c r="O4" s="1221" t="s">
        <v>293</v>
      </c>
      <c r="P4" s="1221"/>
      <c r="Q4" s="1221" t="s">
        <v>294</v>
      </c>
      <c r="R4" s="1221"/>
      <c r="S4" s="1221" t="s">
        <v>295</v>
      </c>
      <c r="T4" s="1221"/>
      <c r="U4" s="1222"/>
      <c r="V4" s="5">
        <v>247</v>
      </c>
      <c r="W4" s="5" t="s">
        <v>142</v>
      </c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</row>
    <row r="5" spans="1:219" ht="25.5" customHeight="1" x14ac:dyDescent="0.2">
      <c r="A5" s="1207"/>
      <c r="B5" s="236" t="s">
        <v>261</v>
      </c>
      <c r="C5" s="236" t="s">
        <v>262</v>
      </c>
      <c r="D5" s="236" t="s">
        <v>261</v>
      </c>
      <c r="E5" s="236" t="s">
        <v>262</v>
      </c>
      <c r="F5" s="858">
        <f>'Родительская плата '!E6+Численность!AU6+Численность!AW6+Численность!AY6+Численность!BA6</f>
        <v>33</v>
      </c>
      <c r="G5" s="236" t="s">
        <v>262</v>
      </c>
      <c r="H5" s="236" t="s">
        <v>261</v>
      </c>
      <c r="I5" s="236" t="s">
        <v>262</v>
      </c>
      <c r="J5" s="236" t="s">
        <v>261</v>
      </c>
      <c r="K5" s="236" t="s">
        <v>262</v>
      </c>
      <c r="L5" s="236" t="s">
        <v>261</v>
      </c>
      <c r="M5" s="236" t="s">
        <v>262</v>
      </c>
      <c r="N5" s="1222"/>
      <c r="O5" s="964" t="s">
        <v>261</v>
      </c>
      <c r="P5" s="964" t="s">
        <v>262</v>
      </c>
      <c r="Q5" s="964" t="s">
        <v>261</v>
      </c>
      <c r="R5" s="964" t="s">
        <v>262</v>
      </c>
      <c r="S5" s="964" t="s">
        <v>261</v>
      </c>
      <c r="T5" s="964" t="s">
        <v>262</v>
      </c>
      <c r="U5" s="1222"/>
      <c r="V5" s="65">
        <v>0.64</v>
      </c>
      <c r="W5" s="5" t="s">
        <v>143</v>
      </c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</row>
    <row r="6" spans="1:219" x14ac:dyDescent="0.2">
      <c r="A6" s="811" t="str">
        <f>Питание!B5</f>
        <v>МАДОУ ЦРР-детский сад № 2</v>
      </c>
      <c r="B6" s="812">
        <f>Питание!C5</f>
        <v>64</v>
      </c>
      <c r="C6" s="812">
        <f>Питание!D5</f>
        <v>238</v>
      </c>
      <c r="D6" s="812">
        <f>Питание!E5</f>
        <v>0</v>
      </c>
      <c r="E6" s="812">
        <f>Питание!F5</f>
        <v>33</v>
      </c>
      <c r="F6" s="812">
        <f>Питание!G5</f>
        <v>0</v>
      </c>
      <c r="G6" s="812">
        <f>Питание!H5</f>
        <v>2</v>
      </c>
      <c r="H6" s="814">
        <f t="shared" ref="H6:H29" si="0">ROUND(B6*$H$3*$V$4,0)</f>
        <v>1865344</v>
      </c>
      <c r="I6" s="814">
        <f t="shared" ref="I6:I29" si="1">ROUND(C6*$I$3*$V$4,0)</f>
        <v>8230040</v>
      </c>
      <c r="J6" s="814">
        <f t="shared" ref="J6:J29" si="2">ROUND(D6*$J$3*$V$4*$V$3,0)</f>
        <v>0</v>
      </c>
      <c r="K6" s="814">
        <f t="shared" ref="K6:K29" si="3">ROUND(E6*$K$3*$V$4*$V$3,0)</f>
        <v>570570</v>
      </c>
      <c r="L6" s="814"/>
      <c r="M6" s="814"/>
      <c r="N6" s="813">
        <f>SUM(H6:M6)</f>
        <v>10665954</v>
      </c>
      <c r="O6" s="814">
        <f>ROUND(B6*$O$3*$V$4,0)</f>
        <v>1691456</v>
      </c>
      <c r="P6" s="814">
        <f>ROUND(C6*$P$3*$V$4,0)</f>
        <v>7465822</v>
      </c>
      <c r="Q6" s="814">
        <f>ROUND(D6*$Q$3*$V$4*$V$3,0)</f>
        <v>0</v>
      </c>
      <c r="R6" s="814">
        <f>ROUND(E6*$R$3*$V$4*$V$3,0)</f>
        <v>517589</v>
      </c>
      <c r="S6" s="814"/>
      <c r="T6" s="814"/>
      <c r="U6" s="813">
        <f>SUM(O6:T6)</f>
        <v>9674867</v>
      </c>
      <c r="V6" s="5"/>
      <c r="W6" s="5"/>
    </row>
    <row r="7" spans="1:219" x14ac:dyDescent="0.2">
      <c r="A7" s="811" t="str">
        <f>Питание!B6</f>
        <v>МАДОУ ЦРР-детский сад № 11</v>
      </c>
      <c r="B7" s="812">
        <f>Питание!C6</f>
        <v>61</v>
      </c>
      <c r="C7" s="812">
        <f>Питание!D6</f>
        <v>250</v>
      </c>
      <c r="D7" s="812">
        <f>Питание!E6</f>
        <v>0</v>
      </c>
      <c r="E7" s="812">
        <f>Питание!F6</f>
        <v>58</v>
      </c>
      <c r="F7" s="812">
        <f>Питание!G6</f>
        <v>0</v>
      </c>
      <c r="G7" s="812">
        <f>Питание!H6</f>
        <v>1</v>
      </c>
      <c r="H7" s="814">
        <f t="shared" si="0"/>
        <v>1777906</v>
      </c>
      <c r="I7" s="814">
        <f t="shared" si="1"/>
        <v>8645000</v>
      </c>
      <c r="J7" s="814">
        <f t="shared" si="2"/>
        <v>0</v>
      </c>
      <c r="K7" s="814">
        <f t="shared" si="3"/>
        <v>1002820</v>
      </c>
      <c r="L7" s="814"/>
      <c r="M7" s="814"/>
      <c r="N7" s="813">
        <f t="shared" ref="N7:N14" si="4">SUM(H7:M7)</f>
        <v>11425726</v>
      </c>
      <c r="O7" s="814">
        <f t="shared" ref="O7:O29" si="5">ROUND(B7*$O$3*$V$4,0)</f>
        <v>1612169</v>
      </c>
      <c r="P7" s="814">
        <f t="shared" ref="P7:P29" si="6">ROUND(C7*$P$3*$V$4,0)</f>
        <v>7842250</v>
      </c>
      <c r="Q7" s="814">
        <f t="shared" ref="Q7:Q29" si="7">ROUND(D7*$Q$3*$V$4*$V$3,0)</f>
        <v>0</v>
      </c>
      <c r="R7" s="814">
        <f t="shared" ref="R7:R29" si="8">ROUND(E7*$R$3*$V$4*$V$3,0)</f>
        <v>909701</v>
      </c>
      <c r="S7" s="814"/>
      <c r="T7" s="814"/>
      <c r="U7" s="813">
        <f t="shared" ref="U7:U29" si="9">SUM(O7:T7)</f>
        <v>10364120</v>
      </c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</row>
    <row r="8" spans="1:219" x14ac:dyDescent="0.2">
      <c r="A8" s="811" t="str">
        <f>Питание!B7</f>
        <v>МАДОУ ЦРР-детский сад № 13</v>
      </c>
      <c r="B8" s="812">
        <f>Питание!C7</f>
        <v>124</v>
      </c>
      <c r="C8" s="812">
        <f>Питание!D7</f>
        <v>279</v>
      </c>
      <c r="D8" s="812">
        <f>Питание!E7</f>
        <v>0</v>
      </c>
      <c r="E8" s="812">
        <f>Питание!F7</f>
        <v>93</v>
      </c>
      <c r="F8" s="812">
        <f>Питание!G7</f>
        <v>1</v>
      </c>
      <c r="G8" s="812">
        <f>Питание!H7</f>
        <v>7</v>
      </c>
      <c r="H8" s="814">
        <f t="shared" si="0"/>
        <v>3614104</v>
      </c>
      <c r="I8" s="814">
        <f t="shared" si="1"/>
        <v>9647820</v>
      </c>
      <c r="J8" s="814">
        <f t="shared" si="2"/>
        <v>0</v>
      </c>
      <c r="K8" s="814">
        <f t="shared" si="3"/>
        <v>1607970</v>
      </c>
      <c r="L8" s="814"/>
      <c r="M8" s="814"/>
      <c r="N8" s="813">
        <f t="shared" si="4"/>
        <v>14869894</v>
      </c>
      <c r="O8" s="814">
        <f t="shared" si="5"/>
        <v>3277196</v>
      </c>
      <c r="P8" s="814">
        <f t="shared" si="6"/>
        <v>8751951</v>
      </c>
      <c r="Q8" s="814">
        <f>ROUND(D8*$Q$3*$V$4*$V$3,0)</f>
        <v>0</v>
      </c>
      <c r="R8" s="814">
        <f t="shared" si="8"/>
        <v>1458659</v>
      </c>
      <c r="S8" s="814"/>
      <c r="T8" s="814"/>
      <c r="U8" s="813">
        <f t="shared" si="9"/>
        <v>13487806</v>
      </c>
    </row>
    <row r="9" spans="1:219" x14ac:dyDescent="0.2">
      <c r="A9" s="811" t="str">
        <f>Питание!B8</f>
        <v>МАОУ СОШ № 1 структурное подразделение</v>
      </c>
      <c r="B9" s="812">
        <f>Питание!C8</f>
        <v>41</v>
      </c>
      <c r="C9" s="812">
        <f>Питание!D8</f>
        <v>208</v>
      </c>
      <c r="D9" s="812">
        <f>Питание!E8</f>
        <v>0</v>
      </c>
      <c r="E9" s="812">
        <f>Питание!F8</f>
        <v>15</v>
      </c>
      <c r="F9" s="812">
        <f>Питание!G8</f>
        <v>0</v>
      </c>
      <c r="G9" s="812">
        <f>Питание!H8</f>
        <v>1</v>
      </c>
      <c r="H9" s="814">
        <f t="shared" si="0"/>
        <v>1194986</v>
      </c>
      <c r="I9" s="814">
        <f t="shared" si="1"/>
        <v>7192640</v>
      </c>
      <c r="J9" s="814">
        <f t="shared" si="2"/>
        <v>0</v>
      </c>
      <c r="K9" s="814">
        <f t="shared" si="3"/>
        <v>259350</v>
      </c>
      <c r="L9" s="814"/>
      <c r="M9" s="814"/>
      <c r="N9" s="813">
        <f t="shared" si="4"/>
        <v>8646976</v>
      </c>
      <c r="O9" s="814">
        <f t="shared" si="5"/>
        <v>1083589</v>
      </c>
      <c r="P9" s="814">
        <f t="shared" si="6"/>
        <v>6524752</v>
      </c>
      <c r="Q9" s="814">
        <f t="shared" si="7"/>
        <v>0</v>
      </c>
      <c r="R9" s="814">
        <f t="shared" si="8"/>
        <v>235268</v>
      </c>
      <c r="S9" s="814"/>
      <c r="T9" s="814"/>
      <c r="U9" s="813">
        <f t="shared" si="9"/>
        <v>7843609</v>
      </c>
    </row>
    <row r="10" spans="1:219" ht="27.75" customHeight="1" x14ac:dyDescent="0.2">
      <c r="A10" s="811" t="str">
        <f>Питание!B9</f>
        <v>МАОУ СОШ № 2 им.М.И.Грибушина структурное подразделение</v>
      </c>
      <c r="B10" s="812">
        <f>Питание!C9</f>
        <v>33</v>
      </c>
      <c r="C10" s="812">
        <f>Питание!D9</f>
        <v>136</v>
      </c>
      <c r="D10" s="812">
        <f>Питание!E9</f>
        <v>0</v>
      </c>
      <c r="E10" s="812">
        <f>Питание!F9</f>
        <v>17</v>
      </c>
      <c r="F10" s="812">
        <f>Питание!G9</f>
        <v>0</v>
      </c>
      <c r="G10" s="812">
        <f>Питание!H9</f>
        <v>3</v>
      </c>
      <c r="H10" s="814">
        <f t="shared" si="0"/>
        <v>961818</v>
      </c>
      <c r="I10" s="814">
        <f t="shared" si="1"/>
        <v>4702880</v>
      </c>
      <c r="J10" s="814">
        <f t="shared" si="2"/>
        <v>0</v>
      </c>
      <c r="K10" s="814">
        <f t="shared" si="3"/>
        <v>293930</v>
      </c>
      <c r="L10" s="814"/>
      <c r="M10" s="814"/>
      <c r="N10" s="813">
        <f t="shared" si="4"/>
        <v>5958628</v>
      </c>
      <c r="O10" s="814">
        <f t="shared" si="5"/>
        <v>872157</v>
      </c>
      <c r="P10" s="814">
        <f t="shared" si="6"/>
        <v>4266184</v>
      </c>
      <c r="Q10" s="814">
        <f t="shared" si="7"/>
        <v>0</v>
      </c>
      <c r="R10" s="814">
        <f t="shared" si="8"/>
        <v>266637</v>
      </c>
      <c r="S10" s="814"/>
      <c r="T10" s="814"/>
      <c r="U10" s="813">
        <f t="shared" si="9"/>
        <v>5404978</v>
      </c>
    </row>
    <row r="11" spans="1:219" x14ac:dyDescent="0.2">
      <c r="A11" s="811" t="str">
        <f>Питание!B10</f>
        <v>МАОУ СОШ № 10 структурное подразделение</v>
      </c>
      <c r="B11" s="812">
        <f>Питание!C10</f>
        <v>15</v>
      </c>
      <c r="C11" s="812">
        <f>Питание!D10</f>
        <v>129</v>
      </c>
      <c r="D11" s="812">
        <f>Питание!E10</f>
        <v>0</v>
      </c>
      <c r="E11" s="812">
        <f>Питание!F10</f>
        <v>7</v>
      </c>
      <c r="F11" s="812">
        <f>Питание!G10</f>
        <v>1</v>
      </c>
      <c r="G11" s="812">
        <f>Питание!H10</f>
        <v>4</v>
      </c>
      <c r="H11" s="814">
        <f t="shared" si="0"/>
        <v>437190</v>
      </c>
      <c r="I11" s="814">
        <f t="shared" si="1"/>
        <v>4460820</v>
      </c>
      <c r="J11" s="814">
        <f t="shared" si="2"/>
        <v>0</v>
      </c>
      <c r="K11" s="814">
        <f t="shared" si="3"/>
        <v>121030</v>
      </c>
      <c r="L11" s="814"/>
      <c r="M11" s="814"/>
      <c r="N11" s="813">
        <f t="shared" si="4"/>
        <v>5019040</v>
      </c>
      <c r="O11" s="814">
        <f t="shared" si="5"/>
        <v>396435</v>
      </c>
      <c r="P11" s="814">
        <f t="shared" si="6"/>
        <v>4046601</v>
      </c>
      <c r="Q11" s="814">
        <f t="shared" si="7"/>
        <v>0</v>
      </c>
      <c r="R11" s="814">
        <f t="shared" si="8"/>
        <v>109792</v>
      </c>
      <c r="S11" s="814"/>
      <c r="T11" s="814"/>
      <c r="U11" s="813">
        <f t="shared" si="9"/>
        <v>4552828</v>
      </c>
    </row>
    <row r="12" spans="1:219" x14ac:dyDescent="0.2">
      <c r="A12" s="811" t="str">
        <f>Питание!B11</f>
        <v>МАОУ СОШ № 13 структурное подразделение</v>
      </c>
      <c r="B12" s="812">
        <f>Питание!C11</f>
        <v>22</v>
      </c>
      <c r="C12" s="812">
        <f>Питание!D11</f>
        <v>81</v>
      </c>
      <c r="D12" s="812">
        <f>Питание!E11</f>
        <v>0</v>
      </c>
      <c r="E12" s="812">
        <f>Питание!F11</f>
        <v>4</v>
      </c>
      <c r="F12" s="812">
        <f>Питание!G11</f>
        <v>0</v>
      </c>
      <c r="G12" s="812">
        <f>Питание!H11</f>
        <v>1</v>
      </c>
      <c r="H12" s="814">
        <f t="shared" si="0"/>
        <v>641212</v>
      </c>
      <c r="I12" s="814">
        <f t="shared" si="1"/>
        <v>2800980</v>
      </c>
      <c r="J12" s="814">
        <f t="shared" si="2"/>
        <v>0</v>
      </c>
      <c r="K12" s="814">
        <f t="shared" si="3"/>
        <v>69160</v>
      </c>
      <c r="L12" s="814"/>
      <c r="M12" s="814"/>
      <c r="N12" s="813">
        <f t="shared" si="4"/>
        <v>3511352</v>
      </c>
      <c r="O12" s="814">
        <f t="shared" si="5"/>
        <v>581438</v>
      </c>
      <c r="P12" s="814">
        <f t="shared" si="6"/>
        <v>2540889</v>
      </c>
      <c r="Q12" s="814">
        <f t="shared" si="7"/>
        <v>0</v>
      </c>
      <c r="R12" s="814">
        <f t="shared" si="8"/>
        <v>62738</v>
      </c>
      <c r="S12" s="814"/>
      <c r="T12" s="814"/>
      <c r="U12" s="813">
        <f t="shared" si="9"/>
        <v>3185065</v>
      </c>
    </row>
    <row r="13" spans="1:219" x14ac:dyDescent="0.2">
      <c r="A13" s="811" t="str">
        <f>Питание!B12</f>
        <v>Гимназия № 16 структурное подразделение</v>
      </c>
      <c r="B13" s="812">
        <f>Питание!C12</f>
        <v>32</v>
      </c>
      <c r="C13" s="812">
        <f>Питание!D12</f>
        <v>176</v>
      </c>
      <c r="D13" s="812">
        <f>Питание!E12</f>
        <v>0</v>
      </c>
      <c r="E13" s="812">
        <f>Питание!F12</f>
        <v>15</v>
      </c>
      <c r="F13" s="812">
        <f>Питание!G12</f>
        <v>0</v>
      </c>
      <c r="G13" s="812">
        <f>Питание!H12</f>
        <v>9</v>
      </c>
      <c r="H13" s="814">
        <f t="shared" si="0"/>
        <v>932672</v>
      </c>
      <c r="I13" s="814">
        <f t="shared" si="1"/>
        <v>6086080</v>
      </c>
      <c r="J13" s="814">
        <f t="shared" si="2"/>
        <v>0</v>
      </c>
      <c r="K13" s="814">
        <f t="shared" si="3"/>
        <v>259350</v>
      </c>
      <c r="L13" s="814"/>
      <c r="M13" s="814"/>
      <c r="N13" s="813">
        <f t="shared" si="4"/>
        <v>7278102</v>
      </c>
      <c r="O13" s="814">
        <f t="shared" si="5"/>
        <v>845728</v>
      </c>
      <c r="P13" s="814">
        <f t="shared" si="6"/>
        <v>5520944</v>
      </c>
      <c r="Q13" s="814">
        <f t="shared" si="7"/>
        <v>0</v>
      </c>
      <c r="R13" s="814">
        <f t="shared" si="8"/>
        <v>235268</v>
      </c>
      <c r="S13" s="814"/>
      <c r="T13" s="814"/>
      <c r="U13" s="813">
        <f t="shared" si="9"/>
        <v>6601940</v>
      </c>
    </row>
    <row r="14" spans="1:219" ht="25.5" x14ac:dyDescent="0.2">
      <c r="A14" s="811" t="str">
        <f>Питание!B13</f>
        <v>МАОУ ООШ № 17 с кадетскими классами структурное подразделение</v>
      </c>
      <c r="B14" s="812">
        <f>Питание!C13</f>
        <v>13</v>
      </c>
      <c r="C14" s="812">
        <f>Питание!D13</f>
        <v>51</v>
      </c>
      <c r="D14" s="812">
        <f>Питание!E13</f>
        <v>0</v>
      </c>
      <c r="E14" s="812">
        <f>Питание!F13</f>
        <v>1</v>
      </c>
      <c r="F14" s="812">
        <f>Питание!G13</f>
        <v>0</v>
      </c>
      <c r="G14" s="812">
        <f>Питание!H13</f>
        <v>4</v>
      </c>
      <c r="H14" s="814">
        <f t="shared" si="0"/>
        <v>378898</v>
      </c>
      <c r="I14" s="814">
        <f t="shared" si="1"/>
        <v>1763580</v>
      </c>
      <c r="J14" s="814">
        <f t="shared" si="2"/>
        <v>0</v>
      </c>
      <c r="K14" s="814">
        <f t="shared" si="3"/>
        <v>17290</v>
      </c>
      <c r="L14" s="814"/>
      <c r="M14" s="814"/>
      <c r="N14" s="813">
        <f t="shared" si="4"/>
        <v>2159768</v>
      </c>
      <c r="O14" s="814">
        <f t="shared" si="5"/>
        <v>343577</v>
      </c>
      <c r="P14" s="814">
        <f t="shared" si="6"/>
        <v>1599819</v>
      </c>
      <c r="Q14" s="814">
        <f t="shared" si="7"/>
        <v>0</v>
      </c>
      <c r="R14" s="814">
        <f t="shared" si="8"/>
        <v>15685</v>
      </c>
      <c r="S14" s="814"/>
      <c r="T14" s="814"/>
      <c r="U14" s="813">
        <f t="shared" si="9"/>
        <v>1959081</v>
      </c>
    </row>
    <row r="15" spans="1:219" ht="16.5" customHeight="1" x14ac:dyDescent="0.2">
      <c r="A15" s="820" t="s">
        <v>670</v>
      </c>
      <c r="B15" s="859">
        <f>Питание!C14</f>
        <v>4</v>
      </c>
      <c r="C15" s="859">
        <f>Питание!D14</f>
        <v>30</v>
      </c>
      <c r="D15" s="859">
        <f>Питание!E14</f>
        <v>1</v>
      </c>
      <c r="E15" s="859">
        <f>Питание!F14</f>
        <v>3</v>
      </c>
      <c r="F15" s="859">
        <f>Питание!G14</f>
        <v>0</v>
      </c>
      <c r="G15" s="859">
        <f>Питание!H14</f>
        <v>1</v>
      </c>
      <c r="H15" s="306">
        <f t="shared" si="0"/>
        <v>116584</v>
      </c>
      <c r="I15" s="306">
        <f t="shared" si="1"/>
        <v>1037400</v>
      </c>
      <c r="J15" s="306">
        <f t="shared" si="2"/>
        <v>14573</v>
      </c>
      <c r="K15" s="306">
        <f t="shared" si="3"/>
        <v>51870</v>
      </c>
      <c r="L15" s="306"/>
      <c r="M15" s="306"/>
      <c r="N15" s="821">
        <f t="shared" ref="N15:N29" si="10">SUM(H15:M15)</f>
        <v>1220427</v>
      </c>
      <c r="O15" s="814">
        <f t="shared" si="5"/>
        <v>105716</v>
      </c>
      <c r="P15" s="814">
        <f t="shared" si="6"/>
        <v>941070</v>
      </c>
      <c r="Q15" s="814">
        <f t="shared" si="7"/>
        <v>13215</v>
      </c>
      <c r="R15" s="814">
        <f t="shared" si="8"/>
        <v>47054</v>
      </c>
      <c r="S15" s="306"/>
      <c r="T15" s="306"/>
      <c r="U15" s="821">
        <f t="shared" si="9"/>
        <v>1107055</v>
      </c>
    </row>
    <row r="16" spans="1:219" x14ac:dyDescent="0.2">
      <c r="A16" s="820" t="s">
        <v>671</v>
      </c>
      <c r="B16" s="859">
        <f>Питание!C15</f>
        <v>8</v>
      </c>
      <c r="C16" s="859">
        <f>Питание!D15</f>
        <v>24</v>
      </c>
      <c r="D16" s="859">
        <f>Питание!E15</f>
        <v>0</v>
      </c>
      <c r="E16" s="859">
        <f>Питание!F15</f>
        <v>1</v>
      </c>
      <c r="F16" s="859">
        <f>Питание!G15</f>
        <v>0</v>
      </c>
      <c r="G16" s="859">
        <f>Питание!H15</f>
        <v>1</v>
      </c>
      <c r="H16" s="306">
        <f t="shared" si="0"/>
        <v>233168</v>
      </c>
      <c r="I16" s="306">
        <f t="shared" si="1"/>
        <v>829920</v>
      </c>
      <c r="J16" s="306">
        <f t="shared" si="2"/>
        <v>0</v>
      </c>
      <c r="K16" s="306">
        <f t="shared" si="3"/>
        <v>17290</v>
      </c>
      <c r="L16" s="306"/>
      <c r="M16" s="306"/>
      <c r="N16" s="821">
        <f t="shared" si="10"/>
        <v>1080378</v>
      </c>
      <c r="O16" s="814">
        <f t="shared" si="5"/>
        <v>211432</v>
      </c>
      <c r="P16" s="814">
        <f t="shared" si="6"/>
        <v>752856</v>
      </c>
      <c r="Q16" s="814">
        <f t="shared" si="7"/>
        <v>0</v>
      </c>
      <c r="R16" s="814">
        <f t="shared" si="8"/>
        <v>15685</v>
      </c>
      <c r="S16" s="306"/>
      <c r="T16" s="306"/>
      <c r="U16" s="821">
        <f t="shared" si="9"/>
        <v>979973</v>
      </c>
    </row>
    <row r="17" spans="1:26" ht="25.5" x14ac:dyDescent="0.2">
      <c r="A17" s="820" t="s">
        <v>672</v>
      </c>
      <c r="B17" s="859">
        <f>Питание!C16</f>
        <v>15</v>
      </c>
      <c r="C17" s="859">
        <f>Питание!D16</f>
        <v>77</v>
      </c>
      <c r="D17" s="859">
        <f>Питание!E16</f>
        <v>2</v>
      </c>
      <c r="E17" s="859">
        <f>Питание!F16</f>
        <v>13</v>
      </c>
      <c r="F17" s="859">
        <f>Питание!G16</f>
        <v>0</v>
      </c>
      <c r="G17" s="859">
        <f>Питание!H16</f>
        <v>1</v>
      </c>
      <c r="H17" s="306">
        <f t="shared" si="0"/>
        <v>437190</v>
      </c>
      <c r="I17" s="306">
        <f t="shared" si="1"/>
        <v>2662660</v>
      </c>
      <c r="J17" s="306">
        <f t="shared" si="2"/>
        <v>29146</v>
      </c>
      <c r="K17" s="306">
        <f t="shared" si="3"/>
        <v>224770</v>
      </c>
      <c r="L17" s="306"/>
      <c r="M17" s="306"/>
      <c r="N17" s="821">
        <f t="shared" si="10"/>
        <v>3353766</v>
      </c>
      <c r="O17" s="814">
        <f t="shared" si="5"/>
        <v>396435</v>
      </c>
      <c r="P17" s="814">
        <f t="shared" si="6"/>
        <v>2415413</v>
      </c>
      <c r="Q17" s="814">
        <f t="shared" si="7"/>
        <v>26429</v>
      </c>
      <c r="R17" s="814">
        <f t="shared" si="8"/>
        <v>203899</v>
      </c>
      <c r="S17" s="306"/>
      <c r="T17" s="306"/>
      <c r="U17" s="821">
        <f t="shared" si="9"/>
        <v>3042176</v>
      </c>
    </row>
    <row r="18" spans="1:26" ht="25.5" x14ac:dyDescent="0.2">
      <c r="A18" s="820" t="s">
        <v>673</v>
      </c>
      <c r="B18" s="859">
        <f>Питание!C17</f>
        <v>21</v>
      </c>
      <c r="C18" s="859">
        <f>Питание!D17</f>
        <v>80</v>
      </c>
      <c r="D18" s="859">
        <f>Питание!E17</f>
        <v>0</v>
      </c>
      <c r="E18" s="859">
        <f>Питание!F17</f>
        <v>4</v>
      </c>
      <c r="F18" s="859">
        <f>Питание!G17</f>
        <v>0</v>
      </c>
      <c r="G18" s="859">
        <f>Питание!H17</f>
        <v>1</v>
      </c>
      <c r="H18" s="306">
        <f t="shared" si="0"/>
        <v>612066</v>
      </c>
      <c r="I18" s="306">
        <f t="shared" si="1"/>
        <v>2766400</v>
      </c>
      <c r="J18" s="306">
        <f t="shared" si="2"/>
        <v>0</v>
      </c>
      <c r="K18" s="306">
        <f t="shared" si="3"/>
        <v>69160</v>
      </c>
      <c r="L18" s="306"/>
      <c r="M18" s="306"/>
      <c r="N18" s="821">
        <f t="shared" si="10"/>
        <v>3447626</v>
      </c>
      <c r="O18" s="814">
        <f t="shared" si="5"/>
        <v>555009</v>
      </c>
      <c r="P18" s="814">
        <f t="shared" si="6"/>
        <v>2509520</v>
      </c>
      <c r="Q18" s="814">
        <f t="shared" si="7"/>
        <v>0</v>
      </c>
      <c r="R18" s="814">
        <f t="shared" si="8"/>
        <v>62738</v>
      </c>
      <c r="S18" s="306"/>
      <c r="T18" s="306"/>
      <c r="U18" s="821">
        <f t="shared" si="9"/>
        <v>3127267</v>
      </c>
    </row>
    <row r="19" spans="1:26" ht="16.5" customHeight="1" x14ac:dyDescent="0.2">
      <c r="A19" s="820" t="s">
        <v>674</v>
      </c>
      <c r="B19" s="859">
        <f>Питание!C18</f>
        <v>4</v>
      </c>
      <c r="C19" s="859">
        <f>Питание!D18</f>
        <v>32</v>
      </c>
      <c r="D19" s="859">
        <f>Питание!E18</f>
        <v>0</v>
      </c>
      <c r="E19" s="859">
        <f>Питание!F18</f>
        <v>3</v>
      </c>
      <c r="F19" s="859">
        <f>Питание!G18</f>
        <v>0</v>
      </c>
      <c r="G19" s="859">
        <f>Питание!H18</f>
        <v>1</v>
      </c>
      <c r="H19" s="306">
        <f t="shared" si="0"/>
        <v>116584</v>
      </c>
      <c r="I19" s="306">
        <f t="shared" si="1"/>
        <v>1106560</v>
      </c>
      <c r="J19" s="306">
        <f t="shared" si="2"/>
        <v>0</v>
      </c>
      <c r="K19" s="306">
        <f t="shared" si="3"/>
        <v>51870</v>
      </c>
      <c r="L19" s="306"/>
      <c r="M19" s="306"/>
      <c r="N19" s="821">
        <f t="shared" si="10"/>
        <v>1275014</v>
      </c>
      <c r="O19" s="814">
        <f t="shared" si="5"/>
        <v>105716</v>
      </c>
      <c r="P19" s="814">
        <f t="shared" si="6"/>
        <v>1003808</v>
      </c>
      <c r="Q19" s="814">
        <f t="shared" si="7"/>
        <v>0</v>
      </c>
      <c r="R19" s="814">
        <f t="shared" si="8"/>
        <v>47054</v>
      </c>
      <c r="S19" s="306"/>
      <c r="T19" s="306"/>
      <c r="U19" s="821">
        <f t="shared" si="9"/>
        <v>1156578</v>
      </c>
    </row>
    <row r="20" spans="1:26" ht="16.5" customHeight="1" x14ac:dyDescent="0.2">
      <c r="A20" s="820" t="s">
        <v>675</v>
      </c>
      <c r="B20" s="859">
        <f>Питание!C19</f>
        <v>11</v>
      </c>
      <c r="C20" s="859">
        <f>Питание!D19</f>
        <v>50</v>
      </c>
      <c r="D20" s="859">
        <f>Питание!E19</f>
        <v>0</v>
      </c>
      <c r="E20" s="859">
        <f>Питание!F19</f>
        <v>4</v>
      </c>
      <c r="F20" s="859">
        <f>Питание!G19</f>
        <v>0</v>
      </c>
      <c r="G20" s="859">
        <f>Питание!H19</f>
        <v>4</v>
      </c>
      <c r="H20" s="306">
        <f t="shared" si="0"/>
        <v>320606</v>
      </c>
      <c r="I20" s="306">
        <f t="shared" si="1"/>
        <v>1729000</v>
      </c>
      <c r="J20" s="306">
        <f t="shared" si="2"/>
        <v>0</v>
      </c>
      <c r="K20" s="306">
        <f t="shared" si="3"/>
        <v>69160</v>
      </c>
      <c r="L20" s="306"/>
      <c r="M20" s="306"/>
      <c r="N20" s="821">
        <f t="shared" si="10"/>
        <v>2118766</v>
      </c>
      <c r="O20" s="814">
        <f t="shared" si="5"/>
        <v>290719</v>
      </c>
      <c r="P20" s="814">
        <f t="shared" si="6"/>
        <v>1568450</v>
      </c>
      <c r="Q20" s="814">
        <f t="shared" si="7"/>
        <v>0</v>
      </c>
      <c r="R20" s="814">
        <f t="shared" si="8"/>
        <v>62738</v>
      </c>
      <c r="S20" s="306"/>
      <c r="T20" s="306"/>
      <c r="U20" s="821">
        <f t="shared" si="9"/>
        <v>1921907</v>
      </c>
    </row>
    <row r="21" spans="1:26" ht="16.5" customHeight="1" x14ac:dyDescent="0.2">
      <c r="A21" s="820" t="s">
        <v>681</v>
      </c>
      <c r="B21" s="859">
        <f>Питание!C20</f>
        <v>8</v>
      </c>
      <c r="C21" s="859">
        <f>Питание!D20</f>
        <v>40</v>
      </c>
      <c r="D21" s="859">
        <f>Питание!E20</f>
        <v>0</v>
      </c>
      <c r="E21" s="859">
        <f>Питание!F20</f>
        <v>4</v>
      </c>
      <c r="F21" s="859">
        <f>Питание!G20</f>
        <v>0</v>
      </c>
      <c r="G21" s="859">
        <f>Питание!H20</f>
        <v>0</v>
      </c>
      <c r="H21" s="306">
        <f t="shared" si="0"/>
        <v>233168</v>
      </c>
      <c r="I21" s="306">
        <f t="shared" si="1"/>
        <v>1383200</v>
      </c>
      <c r="J21" s="306">
        <f t="shared" si="2"/>
        <v>0</v>
      </c>
      <c r="K21" s="306">
        <f t="shared" si="3"/>
        <v>69160</v>
      </c>
      <c r="L21" s="306"/>
      <c r="M21" s="306"/>
      <c r="N21" s="821">
        <f t="shared" si="10"/>
        <v>1685528</v>
      </c>
      <c r="O21" s="814">
        <f t="shared" si="5"/>
        <v>211432</v>
      </c>
      <c r="P21" s="814">
        <f t="shared" si="6"/>
        <v>1254760</v>
      </c>
      <c r="Q21" s="814">
        <f t="shared" si="7"/>
        <v>0</v>
      </c>
      <c r="R21" s="814">
        <f t="shared" si="8"/>
        <v>62738</v>
      </c>
      <c r="S21" s="306"/>
      <c r="T21" s="306"/>
      <c r="U21" s="821">
        <f t="shared" si="9"/>
        <v>1528930</v>
      </c>
    </row>
    <row r="22" spans="1:26" ht="16.5" customHeight="1" x14ac:dyDescent="0.2">
      <c r="A22" s="820" t="s">
        <v>682</v>
      </c>
      <c r="B22" s="859">
        <f>Питание!C21</f>
        <v>9</v>
      </c>
      <c r="C22" s="859">
        <f>Питание!D21</f>
        <v>35</v>
      </c>
      <c r="D22" s="859">
        <f>Питание!E21</f>
        <v>0</v>
      </c>
      <c r="E22" s="859">
        <f>Питание!F21</f>
        <v>6</v>
      </c>
      <c r="F22" s="859">
        <f>Питание!G21</f>
        <v>1</v>
      </c>
      <c r="G22" s="859">
        <f>Питание!H21</f>
        <v>4</v>
      </c>
      <c r="H22" s="306">
        <f t="shared" si="0"/>
        <v>262314</v>
      </c>
      <c r="I22" s="306">
        <f t="shared" si="1"/>
        <v>1210300</v>
      </c>
      <c r="J22" s="306">
        <f t="shared" si="2"/>
        <v>0</v>
      </c>
      <c r="K22" s="306">
        <f t="shared" si="3"/>
        <v>103740</v>
      </c>
      <c r="L22" s="306"/>
      <c r="M22" s="306"/>
      <c r="N22" s="821">
        <f t="shared" si="10"/>
        <v>1576354</v>
      </c>
      <c r="O22" s="814">
        <f t="shared" si="5"/>
        <v>237861</v>
      </c>
      <c r="P22" s="814">
        <f t="shared" si="6"/>
        <v>1097915</v>
      </c>
      <c r="Q22" s="814">
        <f t="shared" si="7"/>
        <v>0</v>
      </c>
      <c r="R22" s="814">
        <f t="shared" si="8"/>
        <v>94107</v>
      </c>
      <c r="S22" s="306"/>
      <c r="T22" s="306"/>
      <c r="U22" s="821">
        <f t="shared" si="9"/>
        <v>1429883</v>
      </c>
    </row>
    <row r="23" spans="1:26" ht="16.5" customHeight="1" x14ac:dyDescent="0.2">
      <c r="A23" s="820" t="s">
        <v>676</v>
      </c>
      <c r="B23" s="859">
        <f>Питание!C22</f>
        <v>43</v>
      </c>
      <c r="C23" s="859">
        <f>Питание!D22</f>
        <v>154</v>
      </c>
      <c r="D23" s="859">
        <f>Питание!E22</f>
        <v>0</v>
      </c>
      <c r="E23" s="859">
        <f>Питание!F22</f>
        <v>16</v>
      </c>
      <c r="F23" s="859">
        <f>Питание!G22</f>
        <v>1</v>
      </c>
      <c r="G23" s="859">
        <f>Питание!H22</f>
        <v>6</v>
      </c>
      <c r="H23" s="306">
        <f t="shared" si="0"/>
        <v>1253278</v>
      </c>
      <c r="I23" s="306">
        <f t="shared" si="1"/>
        <v>5325320</v>
      </c>
      <c r="J23" s="306">
        <f t="shared" si="2"/>
        <v>0</v>
      </c>
      <c r="K23" s="306">
        <f t="shared" si="3"/>
        <v>276640</v>
      </c>
      <c r="L23" s="306"/>
      <c r="M23" s="306"/>
      <c r="N23" s="821">
        <f t="shared" si="10"/>
        <v>6855238</v>
      </c>
      <c r="O23" s="814">
        <f t="shared" si="5"/>
        <v>1136447</v>
      </c>
      <c r="P23" s="814">
        <f t="shared" si="6"/>
        <v>4830826</v>
      </c>
      <c r="Q23" s="814">
        <f t="shared" si="7"/>
        <v>0</v>
      </c>
      <c r="R23" s="814">
        <f t="shared" si="8"/>
        <v>250952</v>
      </c>
      <c r="S23" s="306"/>
      <c r="T23" s="306"/>
      <c r="U23" s="821">
        <f t="shared" si="9"/>
        <v>6218225</v>
      </c>
    </row>
    <row r="24" spans="1:26" ht="16.5" customHeight="1" x14ac:dyDescent="0.2">
      <c r="A24" s="820" t="s">
        <v>677</v>
      </c>
      <c r="B24" s="859">
        <f>Питание!C23</f>
        <v>6</v>
      </c>
      <c r="C24" s="859">
        <f>Питание!D23</f>
        <v>36</v>
      </c>
      <c r="D24" s="859">
        <f>Питание!E23</f>
        <v>0</v>
      </c>
      <c r="E24" s="859">
        <f>Питание!F23</f>
        <v>6</v>
      </c>
      <c r="F24" s="859">
        <f>Питание!G23</f>
        <v>0</v>
      </c>
      <c r="G24" s="859">
        <f>Питание!H23</f>
        <v>0</v>
      </c>
      <c r="H24" s="306">
        <f t="shared" si="0"/>
        <v>174876</v>
      </c>
      <c r="I24" s="306">
        <f t="shared" si="1"/>
        <v>1244880</v>
      </c>
      <c r="J24" s="306">
        <f t="shared" si="2"/>
        <v>0</v>
      </c>
      <c r="K24" s="306">
        <f t="shared" si="3"/>
        <v>103740</v>
      </c>
      <c r="L24" s="306"/>
      <c r="M24" s="306"/>
      <c r="N24" s="821">
        <f t="shared" si="10"/>
        <v>1523496</v>
      </c>
      <c r="O24" s="814">
        <f t="shared" si="5"/>
        <v>158574</v>
      </c>
      <c r="P24" s="814">
        <f t="shared" si="6"/>
        <v>1129284</v>
      </c>
      <c r="Q24" s="814">
        <f t="shared" si="7"/>
        <v>0</v>
      </c>
      <c r="R24" s="814">
        <f t="shared" si="8"/>
        <v>94107</v>
      </c>
      <c r="S24" s="306"/>
      <c r="T24" s="306"/>
      <c r="U24" s="821">
        <f t="shared" si="9"/>
        <v>1381965</v>
      </c>
    </row>
    <row r="25" spans="1:26" ht="25.5" x14ac:dyDescent="0.2">
      <c r="A25" s="820" t="s">
        <v>678</v>
      </c>
      <c r="B25" s="859">
        <f>Питание!C24</f>
        <v>6</v>
      </c>
      <c r="C25" s="859">
        <f>Питание!D24</f>
        <v>49</v>
      </c>
      <c r="D25" s="859">
        <f>Питание!E24</f>
        <v>0</v>
      </c>
      <c r="E25" s="859">
        <f>Питание!F24</f>
        <v>8</v>
      </c>
      <c r="F25" s="859">
        <f>Питание!G24</f>
        <v>0</v>
      </c>
      <c r="G25" s="859">
        <f>Питание!H24</f>
        <v>1</v>
      </c>
      <c r="H25" s="306">
        <f t="shared" si="0"/>
        <v>174876</v>
      </c>
      <c r="I25" s="306">
        <f t="shared" si="1"/>
        <v>1694420</v>
      </c>
      <c r="J25" s="306">
        <f t="shared" si="2"/>
        <v>0</v>
      </c>
      <c r="K25" s="306">
        <f t="shared" si="3"/>
        <v>138320</v>
      </c>
      <c r="L25" s="306"/>
      <c r="M25" s="306"/>
      <c r="N25" s="821">
        <f t="shared" si="10"/>
        <v>2007616</v>
      </c>
      <c r="O25" s="814">
        <f t="shared" si="5"/>
        <v>158574</v>
      </c>
      <c r="P25" s="814">
        <f t="shared" si="6"/>
        <v>1537081</v>
      </c>
      <c r="Q25" s="814">
        <f t="shared" si="7"/>
        <v>0</v>
      </c>
      <c r="R25" s="814">
        <f t="shared" si="8"/>
        <v>125476</v>
      </c>
      <c r="S25" s="306"/>
      <c r="T25" s="306"/>
      <c r="U25" s="821">
        <f t="shared" si="9"/>
        <v>1821131</v>
      </c>
    </row>
    <row r="26" spans="1:26" x14ac:dyDescent="0.2">
      <c r="A26" s="820" t="s">
        <v>683</v>
      </c>
      <c r="B26" s="859">
        <f>Питание!C25</f>
        <v>13</v>
      </c>
      <c r="C26" s="859">
        <f>Питание!D25</f>
        <v>20</v>
      </c>
      <c r="D26" s="859">
        <f>Питание!E25</f>
        <v>0</v>
      </c>
      <c r="E26" s="859">
        <f>Питание!F25</f>
        <v>1</v>
      </c>
      <c r="F26" s="859">
        <f>Питание!G25</f>
        <v>0</v>
      </c>
      <c r="G26" s="859">
        <f>Питание!H25</f>
        <v>1</v>
      </c>
      <c r="H26" s="306">
        <f t="shared" si="0"/>
        <v>378898</v>
      </c>
      <c r="I26" s="306">
        <f t="shared" si="1"/>
        <v>691600</v>
      </c>
      <c r="J26" s="306">
        <f t="shared" si="2"/>
        <v>0</v>
      </c>
      <c r="K26" s="306">
        <f t="shared" si="3"/>
        <v>17290</v>
      </c>
      <c r="L26" s="306"/>
      <c r="M26" s="306"/>
      <c r="N26" s="821">
        <f t="shared" si="10"/>
        <v>1087788</v>
      </c>
      <c r="O26" s="814">
        <f t="shared" si="5"/>
        <v>343577</v>
      </c>
      <c r="P26" s="814">
        <f t="shared" si="6"/>
        <v>627380</v>
      </c>
      <c r="Q26" s="814">
        <f t="shared" si="7"/>
        <v>0</v>
      </c>
      <c r="R26" s="814">
        <f t="shared" si="8"/>
        <v>15685</v>
      </c>
      <c r="S26" s="306"/>
      <c r="T26" s="306"/>
      <c r="U26" s="821">
        <f t="shared" si="9"/>
        <v>986642</v>
      </c>
    </row>
    <row r="27" spans="1:26" ht="24" customHeight="1" x14ac:dyDescent="0.2">
      <c r="A27" s="820" t="s">
        <v>679</v>
      </c>
      <c r="B27" s="859">
        <f>Питание!C26</f>
        <v>8</v>
      </c>
      <c r="C27" s="859">
        <f>Питание!D26</f>
        <v>29</v>
      </c>
      <c r="D27" s="859">
        <f>Питание!E26</f>
        <v>0</v>
      </c>
      <c r="E27" s="859">
        <f>Питание!F26</f>
        <v>3</v>
      </c>
      <c r="F27" s="859">
        <f>Питание!G26</f>
        <v>0</v>
      </c>
      <c r="G27" s="859">
        <f>Питание!H26</f>
        <v>1</v>
      </c>
      <c r="H27" s="306">
        <f t="shared" si="0"/>
        <v>233168</v>
      </c>
      <c r="I27" s="306">
        <f t="shared" si="1"/>
        <v>1002820</v>
      </c>
      <c r="J27" s="306">
        <f t="shared" si="2"/>
        <v>0</v>
      </c>
      <c r="K27" s="306">
        <f t="shared" si="3"/>
        <v>51870</v>
      </c>
      <c r="L27" s="306"/>
      <c r="M27" s="306"/>
      <c r="N27" s="821">
        <f t="shared" si="10"/>
        <v>1287858</v>
      </c>
      <c r="O27" s="814">
        <f t="shared" si="5"/>
        <v>211432</v>
      </c>
      <c r="P27" s="814">
        <f t="shared" si="6"/>
        <v>909701</v>
      </c>
      <c r="Q27" s="814">
        <f t="shared" si="7"/>
        <v>0</v>
      </c>
      <c r="R27" s="814">
        <f t="shared" si="8"/>
        <v>47054</v>
      </c>
      <c r="S27" s="306"/>
      <c r="T27" s="306"/>
      <c r="U27" s="821">
        <f t="shared" si="9"/>
        <v>1168187</v>
      </c>
    </row>
    <row r="28" spans="1:26" ht="24" customHeight="1" x14ac:dyDescent="0.2">
      <c r="A28" s="820" t="s">
        <v>684</v>
      </c>
      <c r="B28" s="859">
        <f>Питание!C27</f>
        <v>0</v>
      </c>
      <c r="C28" s="859">
        <f>Питание!D27</f>
        <v>58</v>
      </c>
      <c r="D28" s="859">
        <f>Питание!E27</f>
        <v>0</v>
      </c>
      <c r="E28" s="859">
        <f>Питание!F27</f>
        <v>10</v>
      </c>
      <c r="F28" s="859">
        <f>Питание!G27</f>
        <v>0</v>
      </c>
      <c r="G28" s="859">
        <f>Питание!H27</f>
        <v>2</v>
      </c>
      <c r="H28" s="306">
        <f t="shared" si="0"/>
        <v>0</v>
      </c>
      <c r="I28" s="306">
        <f t="shared" si="1"/>
        <v>2005640</v>
      </c>
      <c r="J28" s="306">
        <f t="shared" si="2"/>
        <v>0</v>
      </c>
      <c r="K28" s="306">
        <f t="shared" si="3"/>
        <v>172900</v>
      </c>
      <c r="L28" s="306"/>
      <c r="M28" s="306"/>
      <c r="N28" s="821">
        <f t="shared" si="10"/>
        <v>2178540</v>
      </c>
      <c r="O28" s="814">
        <f t="shared" si="5"/>
        <v>0</v>
      </c>
      <c r="P28" s="814">
        <f t="shared" si="6"/>
        <v>1819402</v>
      </c>
      <c r="Q28" s="814">
        <f t="shared" si="7"/>
        <v>0</v>
      </c>
      <c r="R28" s="814">
        <f t="shared" si="8"/>
        <v>156845</v>
      </c>
      <c r="S28" s="306"/>
      <c r="T28" s="306"/>
      <c r="U28" s="821">
        <f t="shared" si="9"/>
        <v>1976247</v>
      </c>
    </row>
    <row r="29" spans="1:26" ht="16.5" customHeight="1" x14ac:dyDescent="0.2">
      <c r="A29" s="820" t="s">
        <v>680</v>
      </c>
      <c r="B29" s="859">
        <f>Питание!C28</f>
        <v>13</v>
      </c>
      <c r="C29" s="859">
        <f>Питание!D28</f>
        <v>44</v>
      </c>
      <c r="D29" s="859">
        <f>Питание!E28</f>
        <v>1</v>
      </c>
      <c r="E29" s="859">
        <f>Питание!F28</f>
        <v>5</v>
      </c>
      <c r="F29" s="859">
        <f>Питание!G28</f>
        <v>1</v>
      </c>
      <c r="G29" s="859">
        <f>Питание!H28</f>
        <v>1</v>
      </c>
      <c r="H29" s="306">
        <f t="shared" si="0"/>
        <v>378898</v>
      </c>
      <c r="I29" s="306">
        <f t="shared" si="1"/>
        <v>1521520</v>
      </c>
      <c r="J29" s="306">
        <f t="shared" si="2"/>
        <v>14573</v>
      </c>
      <c r="K29" s="306">
        <f t="shared" si="3"/>
        <v>86450</v>
      </c>
      <c r="L29" s="306"/>
      <c r="M29" s="306"/>
      <c r="N29" s="821">
        <f t="shared" si="10"/>
        <v>2001441</v>
      </c>
      <c r="O29" s="814">
        <f t="shared" si="5"/>
        <v>343577</v>
      </c>
      <c r="P29" s="814">
        <f t="shared" si="6"/>
        <v>1380236</v>
      </c>
      <c r="Q29" s="814">
        <f t="shared" si="7"/>
        <v>13215</v>
      </c>
      <c r="R29" s="814">
        <f t="shared" si="8"/>
        <v>78423</v>
      </c>
      <c r="S29" s="306"/>
      <c r="T29" s="306"/>
      <c r="U29" s="821">
        <f t="shared" si="9"/>
        <v>1815451</v>
      </c>
    </row>
    <row r="30" spans="1:26" x14ac:dyDescent="0.2">
      <c r="A30" s="325" t="s">
        <v>685</v>
      </c>
      <c r="B30" s="822">
        <f t="shared" ref="B30:M30" si="11">SUM(B6:B29)</f>
        <v>574</v>
      </c>
      <c r="C30" s="822">
        <f t="shared" si="11"/>
        <v>2306</v>
      </c>
      <c r="D30" s="822">
        <f t="shared" si="11"/>
        <v>4</v>
      </c>
      <c r="E30" s="822">
        <f t="shared" si="11"/>
        <v>330</v>
      </c>
      <c r="F30" s="822">
        <f t="shared" si="11"/>
        <v>5</v>
      </c>
      <c r="G30" s="822">
        <f t="shared" si="11"/>
        <v>57</v>
      </c>
      <c r="H30" s="822">
        <f t="shared" si="11"/>
        <v>16729804</v>
      </c>
      <c r="I30" s="822">
        <f t="shared" si="11"/>
        <v>79741480</v>
      </c>
      <c r="J30" s="822">
        <f t="shared" si="11"/>
        <v>58292</v>
      </c>
      <c r="K30" s="822">
        <f t="shared" si="11"/>
        <v>5705700</v>
      </c>
      <c r="L30" s="822">
        <f t="shared" si="11"/>
        <v>0</v>
      </c>
      <c r="M30" s="822">
        <f t="shared" si="11"/>
        <v>0</v>
      </c>
      <c r="N30" s="822">
        <f>SUM(N6:N29)</f>
        <v>102235276</v>
      </c>
      <c r="O30" s="822">
        <f>SUM(O6:O29)</f>
        <v>15170246</v>
      </c>
      <c r="P30" s="822">
        <f t="shared" ref="P30:T30" si="12">SUM(P6:P29)</f>
        <v>72336914</v>
      </c>
      <c r="Q30" s="822">
        <f t="shared" si="12"/>
        <v>52859</v>
      </c>
      <c r="R30" s="822">
        <f t="shared" si="12"/>
        <v>5175892</v>
      </c>
      <c r="S30" s="822">
        <f t="shared" si="12"/>
        <v>0</v>
      </c>
      <c r="T30" s="822">
        <f t="shared" si="12"/>
        <v>0</v>
      </c>
      <c r="U30" s="822">
        <f>SUM(U6:U29)</f>
        <v>92735911</v>
      </c>
      <c r="Y30" s="367">
        <v>104778141</v>
      </c>
      <c r="Z30" s="367">
        <f>N30-Y30</f>
        <v>-2542865</v>
      </c>
    </row>
  </sheetData>
  <mergeCells count="15">
    <mergeCell ref="O2:U2"/>
    <mergeCell ref="U3:U5"/>
    <mergeCell ref="O4:P4"/>
    <mergeCell ref="Q4:R4"/>
    <mergeCell ref="S4:T4"/>
    <mergeCell ref="A2:A5"/>
    <mergeCell ref="B4:C4"/>
    <mergeCell ref="N3:N5"/>
    <mergeCell ref="H4:I4"/>
    <mergeCell ref="J4:K4"/>
    <mergeCell ref="L4:M4"/>
    <mergeCell ref="H2:N2"/>
    <mergeCell ref="D4:E4"/>
    <mergeCell ref="F4:G4"/>
    <mergeCell ref="B2:G3"/>
  </mergeCells>
  <pageMargins left="0.35433070866141736" right="0.15748031496062992" top="0.19685039370078741" bottom="0.19685039370078741" header="0.51181102362204722" footer="0.51181102362204722"/>
  <pageSetup paperSize="9" scale="28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AG20"/>
  <sheetViews>
    <sheetView zoomScale="110" zoomScaleNormal="110" workbookViewId="0">
      <pane xSplit="2" ySplit="4" topLeftCell="U5" activePane="bottomRight" state="frozen"/>
      <selection activeCell="AE14" sqref="AE14"/>
      <selection pane="topRight" activeCell="AE14" sqref="AE14"/>
      <selection pane="bottomLeft" activeCell="AE14" sqref="AE14"/>
      <selection pane="bottomRight" activeCell="AE14" sqref="AE14"/>
    </sheetView>
  </sheetViews>
  <sheetFormatPr defaultRowHeight="12.75" x14ac:dyDescent="0.2"/>
  <cols>
    <col min="1" max="1" width="5.42578125" style="8" customWidth="1"/>
    <col min="2" max="2" width="44.42578125" style="8" customWidth="1"/>
    <col min="3" max="3" width="13.85546875" style="8" customWidth="1"/>
    <col min="4" max="4" width="11.7109375" style="8" customWidth="1"/>
    <col min="5" max="5" width="16" style="8" customWidth="1"/>
    <col min="6" max="6" width="16.85546875" style="8" customWidth="1"/>
    <col min="7" max="7" width="16.42578125" style="8" customWidth="1"/>
    <col min="8" max="8" width="12.42578125" style="8" customWidth="1"/>
    <col min="9" max="9" width="12.7109375" style="8" customWidth="1"/>
    <col min="10" max="10" width="13.5703125" style="8" customWidth="1"/>
    <col min="11" max="11" width="15" style="8" customWidth="1"/>
    <col min="12" max="12" width="12.7109375" style="8" customWidth="1"/>
    <col min="13" max="13" width="13.7109375" style="8" customWidth="1"/>
    <col min="14" max="14" width="13.28515625" style="8" customWidth="1"/>
    <col min="15" max="15" width="13.28515625" style="123" customWidth="1"/>
    <col min="16" max="16" width="15.28515625" style="8" customWidth="1"/>
    <col min="17" max="17" width="15.42578125" style="8" customWidth="1"/>
    <col min="18" max="18" width="15" style="8" customWidth="1"/>
    <col min="19" max="23" width="14.5703125" style="8" customWidth="1"/>
    <col min="24" max="24" width="14.7109375" style="8" customWidth="1"/>
    <col min="25" max="25" width="13.85546875" style="8" customWidth="1"/>
    <col min="26" max="26" width="15.42578125" style="8" customWidth="1"/>
    <col min="27" max="28" width="12.5703125" style="8" customWidth="1"/>
    <col min="29" max="29" width="13.28515625" style="8" customWidth="1"/>
    <col min="30" max="30" width="17.5703125" style="8" customWidth="1"/>
    <col min="31" max="31" width="17.7109375" style="8" customWidth="1"/>
    <col min="32" max="32" width="9.140625" style="8"/>
    <col min="33" max="33" width="10.5703125" style="8" bestFit="1" customWidth="1"/>
    <col min="34" max="256" width="9.140625" style="8"/>
    <col min="257" max="257" width="5.42578125" style="8" customWidth="1"/>
    <col min="258" max="258" width="23.85546875" style="8" customWidth="1"/>
    <col min="259" max="259" width="16.140625" style="8" customWidth="1"/>
    <col min="260" max="260" width="13.85546875" style="8" customWidth="1"/>
    <col min="261" max="262" width="11.7109375" style="8" customWidth="1"/>
    <col min="263" max="263" width="16" style="8" customWidth="1"/>
    <col min="264" max="264" width="16.85546875" style="8" customWidth="1"/>
    <col min="265" max="265" width="16.42578125" style="8" customWidth="1"/>
    <col min="266" max="266" width="12.42578125" style="8" customWidth="1"/>
    <col min="267" max="267" width="12.7109375" style="8" customWidth="1"/>
    <col min="268" max="268" width="15" style="8" customWidth="1"/>
    <col min="269" max="269" width="12.7109375" style="8" customWidth="1"/>
    <col min="270" max="270" width="12.5703125" style="8" customWidth="1"/>
    <col min="271" max="271" width="14.28515625" style="8" customWidth="1"/>
    <col min="272" max="272" width="17.42578125" style="8" customWidth="1"/>
    <col min="273" max="273" width="12.42578125" style="8" customWidth="1"/>
    <col min="274" max="274" width="14.5703125" style="8" customWidth="1"/>
    <col min="275" max="275" width="12.85546875" style="8" customWidth="1"/>
    <col min="276" max="276" width="13.85546875" style="8" customWidth="1"/>
    <col min="277" max="277" width="15.28515625" style="8" customWidth="1"/>
    <col min="278" max="278" width="15.42578125" style="8" customWidth="1"/>
    <col min="279" max="280" width="14.7109375" style="8" customWidth="1"/>
    <col min="281" max="281" width="12.5703125" style="8" customWidth="1"/>
    <col min="282" max="282" width="13.28515625" style="8" customWidth="1"/>
    <col min="283" max="283" width="17.5703125" style="8" customWidth="1"/>
    <col min="284" max="284" width="17.7109375" style="8" customWidth="1"/>
    <col min="285" max="285" width="17.5703125" style="8" customWidth="1"/>
    <col min="286" max="512" width="9.140625" style="8"/>
    <col min="513" max="513" width="5.42578125" style="8" customWidth="1"/>
    <col min="514" max="514" width="23.85546875" style="8" customWidth="1"/>
    <col min="515" max="515" width="16.140625" style="8" customWidth="1"/>
    <col min="516" max="516" width="13.85546875" style="8" customWidth="1"/>
    <col min="517" max="518" width="11.7109375" style="8" customWidth="1"/>
    <col min="519" max="519" width="16" style="8" customWidth="1"/>
    <col min="520" max="520" width="16.85546875" style="8" customWidth="1"/>
    <col min="521" max="521" width="16.42578125" style="8" customWidth="1"/>
    <col min="522" max="522" width="12.42578125" style="8" customWidth="1"/>
    <col min="523" max="523" width="12.7109375" style="8" customWidth="1"/>
    <col min="524" max="524" width="15" style="8" customWidth="1"/>
    <col min="525" max="525" width="12.7109375" style="8" customWidth="1"/>
    <col min="526" max="526" width="12.5703125" style="8" customWidth="1"/>
    <col min="527" max="527" width="14.28515625" style="8" customWidth="1"/>
    <col min="528" max="528" width="17.42578125" style="8" customWidth="1"/>
    <col min="529" max="529" width="12.42578125" style="8" customWidth="1"/>
    <col min="530" max="530" width="14.5703125" style="8" customWidth="1"/>
    <col min="531" max="531" width="12.85546875" style="8" customWidth="1"/>
    <col min="532" max="532" width="13.85546875" style="8" customWidth="1"/>
    <col min="533" max="533" width="15.28515625" style="8" customWidth="1"/>
    <col min="534" max="534" width="15.42578125" style="8" customWidth="1"/>
    <col min="535" max="536" width="14.7109375" style="8" customWidth="1"/>
    <col min="537" max="537" width="12.5703125" style="8" customWidth="1"/>
    <col min="538" max="538" width="13.28515625" style="8" customWidth="1"/>
    <col min="539" max="539" width="17.5703125" style="8" customWidth="1"/>
    <col min="540" max="540" width="17.7109375" style="8" customWidth="1"/>
    <col min="541" max="541" width="17.5703125" style="8" customWidth="1"/>
    <col min="542" max="768" width="9.140625" style="8"/>
    <col min="769" max="769" width="5.42578125" style="8" customWidth="1"/>
    <col min="770" max="770" width="23.85546875" style="8" customWidth="1"/>
    <col min="771" max="771" width="16.140625" style="8" customWidth="1"/>
    <col min="772" max="772" width="13.85546875" style="8" customWidth="1"/>
    <col min="773" max="774" width="11.7109375" style="8" customWidth="1"/>
    <col min="775" max="775" width="16" style="8" customWidth="1"/>
    <col min="776" max="776" width="16.85546875" style="8" customWidth="1"/>
    <col min="777" max="777" width="16.42578125" style="8" customWidth="1"/>
    <col min="778" max="778" width="12.42578125" style="8" customWidth="1"/>
    <col min="779" max="779" width="12.7109375" style="8" customWidth="1"/>
    <col min="780" max="780" width="15" style="8" customWidth="1"/>
    <col min="781" max="781" width="12.7109375" style="8" customWidth="1"/>
    <col min="782" max="782" width="12.5703125" style="8" customWidth="1"/>
    <col min="783" max="783" width="14.28515625" style="8" customWidth="1"/>
    <col min="784" max="784" width="17.42578125" style="8" customWidth="1"/>
    <col min="785" max="785" width="12.42578125" style="8" customWidth="1"/>
    <col min="786" max="786" width="14.5703125" style="8" customWidth="1"/>
    <col min="787" max="787" width="12.85546875" style="8" customWidth="1"/>
    <col min="788" max="788" width="13.85546875" style="8" customWidth="1"/>
    <col min="789" max="789" width="15.28515625" style="8" customWidth="1"/>
    <col min="790" max="790" width="15.42578125" style="8" customWidth="1"/>
    <col min="791" max="792" width="14.7109375" style="8" customWidth="1"/>
    <col min="793" max="793" width="12.5703125" style="8" customWidth="1"/>
    <col min="794" max="794" width="13.28515625" style="8" customWidth="1"/>
    <col min="795" max="795" width="17.5703125" style="8" customWidth="1"/>
    <col min="796" max="796" width="17.7109375" style="8" customWidth="1"/>
    <col min="797" max="797" width="17.5703125" style="8" customWidth="1"/>
    <col min="798" max="1024" width="9.140625" style="8"/>
    <col min="1025" max="1025" width="5.42578125" style="8" customWidth="1"/>
    <col min="1026" max="1026" width="23.85546875" style="8" customWidth="1"/>
    <col min="1027" max="1027" width="16.140625" style="8" customWidth="1"/>
    <col min="1028" max="1028" width="13.85546875" style="8" customWidth="1"/>
    <col min="1029" max="1030" width="11.7109375" style="8" customWidth="1"/>
    <col min="1031" max="1031" width="16" style="8" customWidth="1"/>
    <col min="1032" max="1032" width="16.85546875" style="8" customWidth="1"/>
    <col min="1033" max="1033" width="16.42578125" style="8" customWidth="1"/>
    <col min="1034" max="1034" width="12.42578125" style="8" customWidth="1"/>
    <col min="1035" max="1035" width="12.7109375" style="8" customWidth="1"/>
    <col min="1036" max="1036" width="15" style="8" customWidth="1"/>
    <col min="1037" max="1037" width="12.7109375" style="8" customWidth="1"/>
    <col min="1038" max="1038" width="12.5703125" style="8" customWidth="1"/>
    <col min="1039" max="1039" width="14.28515625" style="8" customWidth="1"/>
    <col min="1040" max="1040" width="17.42578125" style="8" customWidth="1"/>
    <col min="1041" max="1041" width="12.42578125" style="8" customWidth="1"/>
    <col min="1042" max="1042" width="14.5703125" style="8" customWidth="1"/>
    <col min="1043" max="1043" width="12.85546875" style="8" customWidth="1"/>
    <col min="1044" max="1044" width="13.85546875" style="8" customWidth="1"/>
    <col min="1045" max="1045" width="15.28515625" style="8" customWidth="1"/>
    <col min="1046" max="1046" width="15.42578125" style="8" customWidth="1"/>
    <col min="1047" max="1048" width="14.7109375" style="8" customWidth="1"/>
    <col min="1049" max="1049" width="12.5703125" style="8" customWidth="1"/>
    <col min="1050" max="1050" width="13.28515625" style="8" customWidth="1"/>
    <col min="1051" max="1051" width="17.5703125" style="8" customWidth="1"/>
    <col min="1052" max="1052" width="17.7109375" style="8" customWidth="1"/>
    <col min="1053" max="1053" width="17.5703125" style="8" customWidth="1"/>
    <col min="1054" max="1280" width="9.140625" style="8"/>
    <col min="1281" max="1281" width="5.42578125" style="8" customWidth="1"/>
    <col min="1282" max="1282" width="23.85546875" style="8" customWidth="1"/>
    <col min="1283" max="1283" width="16.140625" style="8" customWidth="1"/>
    <col min="1284" max="1284" width="13.85546875" style="8" customWidth="1"/>
    <col min="1285" max="1286" width="11.7109375" style="8" customWidth="1"/>
    <col min="1287" max="1287" width="16" style="8" customWidth="1"/>
    <col min="1288" max="1288" width="16.85546875" style="8" customWidth="1"/>
    <col min="1289" max="1289" width="16.42578125" style="8" customWidth="1"/>
    <col min="1290" max="1290" width="12.42578125" style="8" customWidth="1"/>
    <col min="1291" max="1291" width="12.7109375" style="8" customWidth="1"/>
    <col min="1292" max="1292" width="15" style="8" customWidth="1"/>
    <col min="1293" max="1293" width="12.7109375" style="8" customWidth="1"/>
    <col min="1294" max="1294" width="12.5703125" style="8" customWidth="1"/>
    <col min="1295" max="1295" width="14.28515625" style="8" customWidth="1"/>
    <col min="1296" max="1296" width="17.42578125" style="8" customWidth="1"/>
    <col min="1297" max="1297" width="12.42578125" style="8" customWidth="1"/>
    <col min="1298" max="1298" width="14.5703125" style="8" customWidth="1"/>
    <col min="1299" max="1299" width="12.85546875" style="8" customWidth="1"/>
    <col min="1300" max="1300" width="13.85546875" style="8" customWidth="1"/>
    <col min="1301" max="1301" width="15.28515625" style="8" customWidth="1"/>
    <col min="1302" max="1302" width="15.42578125" style="8" customWidth="1"/>
    <col min="1303" max="1304" width="14.7109375" style="8" customWidth="1"/>
    <col min="1305" max="1305" width="12.5703125" style="8" customWidth="1"/>
    <col min="1306" max="1306" width="13.28515625" style="8" customWidth="1"/>
    <col min="1307" max="1307" width="17.5703125" style="8" customWidth="1"/>
    <col min="1308" max="1308" width="17.7109375" style="8" customWidth="1"/>
    <col min="1309" max="1309" width="17.5703125" style="8" customWidth="1"/>
    <col min="1310" max="1536" width="9.140625" style="8"/>
    <col min="1537" max="1537" width="5.42578125" style="8" customWidth="1"/>
    <col min="1538" max="1538" width="23.85546875" style="8" customWidth="1"/>
    <col min="1539" max="1539" width="16.140625" style="8" customWidth="1"/>
    <col min="1540" max="1540" width="13.85546875" style="8" customWidth="1"/>
    <col min="1541" max="1542" width="11.7109375" style="8" customWidth="1"/>
    <col min="1543" max="1543" width="16" style="8" customWidth="1"/>
    <col min="1544" max="1544" width="16.85546875" style="8" customWidth="1"/>
    <col min="1545" max="1545" width="16.42578125" style="8" customWidth="1"/>
    <col min="1546" max="1546" width="12.42578125" style="8" customWidth="1"/>
    <col min="1547" max="1547" width="12.7109375" style="8" customWidth="1"/>
    <col min="1548" max="1548" width="15" style="8" customWidth="1"/>
    <col min="1549" max="1549" width="12.7109375" style="8" customWidth="1"/>
    <col min="1550" max="1550" width="12.5703125" style="8" customWidth="1"/>
    <col min="1551" max="1551" width="14.28515625" style="8" customWidth="1"/>
    <col min="1552" max="1552" width="17.42578125" style="8" customWidth="1"/>
    <col min="1553" max="1553" width="12.42578125" style="8" customWidth="1"/>
    <col min="1554" max="1554" width="14.5703125" style="8" customWidth="1"/>
    <col min="1555" max="1555" width="12.85546875" style="8" customWidth="1"/>
    <col min="1556" max="1556" width="13.85546875" style="8" customWidth="1"/>
    <col min="1557" max="1557" width="15.28515625" style="8" customWidth="1"/>
    <col min="1558" max="1558" width="15.42578125" style="8" customWidth="1"/>
    <col min="1559" max="1560" width="14.7109375" style="8" customWidth="1"/>
    <col min="1561" max="1561" width="12.5703125" style="8" customWidth="1"/>
    <col min="1562" max="1562" width="13.28515625" style="8" customWidth="1"/>
    <col min="1563" max="1563" width="17.5703125" style="8" customWidth="1"/>
    <col min="1564" max="1564" width="17.7109375" style="8" customWidth="1"/>
    <col min="1565" max="1565" width="17.5703125" style="8" customWidth="1"/>
    <col min="1566" max="1792" width="9.140625" style="8"/>
    <col min="1793" max="1793" width="5.42578125" style="8" customWidth="1"/>
    <col min="1794" max="1794" width="23.85546875" style="8" customWidth="1"/>
    <col min="1795" max="1795" width="16.140625" style="8" customWidth="1"/>
    <col min="1796" max="1796" width="13.85546875" style="8" customWidth="1"/>
    <col min="1797" max="1798" width="11.7109375" style="8" customWidth="1"/>
    <col min="1799" max="1799" width="16" style="8" customWidth="1"/>
    <col min="1800" max="1800" width="16.85546875" style="8" customWidth="1"/>
    <col min="1801" max="1801" width="16.42578125" style="8" customWidth="1"/>
    <col min="1802" max="1802" width="12.42578125" style="8" customWidth="1"/>
    <col min="1803" max="1803" width="12.7109375" style="8" customWidth="1"/>
    <col min="1804" max="1804" width="15" style="8" customWidth="1"/>
    <col min="1805" max="1805" width="12.7109375" style="8" customWidth="1"/>
    <col min="1806" max="1806" width="12.5703125" style="8" customWidth="1"/>
    <col min="1807" max="1807" width="14.28515625" style="8" customWidth="1"/>
    <col min="1808" max="1808" width="17.42578125" style="8" customWidth="1"/>
    <col min="1809" max="1809" width="12.42578125" style="8" customWidth="1"/>
    <col min="1810" max="1810" width="14.5703125" style="8" customWidth="1"/>
    <col min="1811" max="1811" width="12.85546875" style="8" customWidth="1"/>
    <col min="1812" max="1812" width="13.85546875" style="8" customWidth="1"/>
    <col min="1813" max="1813" width="15.28515625" style="8" customWidth="1"/>
    <col min="1814" max="1814" width="15.42578125" style="8" customWidth="1"/>
    <col min="1815" max="1816" width="14.7109375" style="8" customWidth="1"/>
    <col min="1817" max="1817" width="12.5703125" style="8" customWidth="1"/>
    <col min="1818" max="1818" width="13.28515625" style="8" customWidth="1"/>
    <col min="1819" max="1819" width="17.5703125" style="8" customWidth="1"/>
    <col min="1820" max="1820" width="17.7109375" style="8" customWidth="1"/>
    <col min="1821" max="1821" width="17.5703125" style="8" customWidth="1"/>
    <col min="1822" max="2048" width="9.140625" style="8"/>
    <col min="2049" max="2049" width="5.42578125" style="8" customWidth="1"/>
    <col min="2050" max="2050" width="23.85546875" style="8" customWidth="1"/>
    <col min="2051" max="2051" width="16.140625" style="8" customWidth="1"/>
    <col min="2052" max="2052" width="13.85546875" style="8" customWidth="1"/>
    <col min="2053" max="2054" width="11.7109375" style="8" customWidth="1"/>
    <col min="2055" max="2055" width="16" style="8" customWidth="1"/>
    <col min="2056" max="2056" width="16.85546875" style="8" customWidth="1"/>
    <col min="2057" max="2057" width="16.42578125" style="8" customWidth="1"/>
    <col min="2058" max="2058" width="12.42578125" style="8" customWidth="1"/>
    <col min="2059" max="2059" width="12.7109375" style="8" customWidth="1"/>
    <col min="2060" max="2060" width="15" style="8" customWidth="1"/>
    <col min="2061" max="2061" width="12.7109375" style="8" customWidth="1"/>
    <col min="2062" max="2062" width="12.5703125" style="8" customWidth="1"/>
    <col min="2063" max="2063" width="14.28515625" style="8" customWidth="1"/>
    <col min="2064" max="2064" width="17.42578125" style="8" customWidth="1"/>
    <col min="2065" max="2065" width="12.42578125" style="8" customWidth="1"/>
    <col min="2066" max="2066" width="14.5703125" style="8" customWidth="1"/>
    <col min="2067" max="2067" width="12.85546875" style="8" customWidth="1"/>
    <col min="2068" max="2068" width="13.85546875" style="8" customWidth="1"/>
    <col min="2069" max="2069" width="15.28515625" style="8" customWidth="1"/>
    <col min="2070" max="2070" width="15.42578125" style="8" customWidth="1"/>
    <col min="2071" max="2072" width="14.7109375" style="8" customWidth="1"/>
    <col min="2073" max="2073" width="12.5703125" style="8" customWidth="1"/>
    <col min="2074" max="2074" width="13.28515625" style="8" customWidth="1"/>
    <col min="2075" max="2075" width="17.5703125" style="8" customWidth="1"/>
    <col min="2076" max="2076" width="17.7109375" style="8" customWidth="1"/>
    <col min="2077" max="2077" width="17.5703125" style="8" customWidth="1"/>
    <col min="2078" max="2304" width="9.140625" style="8"/>
    <col min="2305" max="2305" width="5.42578125" style="8" customWidth="1"/>
    <col min="2306" max="2306" width="23.85546875" style="8" customWidth="1"/>
    <col min="2307" max="2307" width="16.140625" style="8" customWidth="1"/>
    <col min="2308" max="2308" width="13.85546875" style="8" customWidth="1"/>
    <col min="2309" max="2310" width="11.7109375" style="8" customWidth="1"/>
    <col min="2311" max="2311" width="16" style="8" customWidth="1"/>
    <col min="2312" max="2312" width="16.85546875" style="8" customWidth="1"/>
    <col min="2313" max="2313" width="16.42578125" style="8" customWidth="1"/>
    <col min="2314" max="2314" width="12.42578125" style="8" customWidth="1"/>
    <col min="2315" max="2315" width="12.7109375" style="8" customWidth="1"/>
    <col min="2316" max="2316" width="15" style="8" customWidth="1"/>
    <col min="2317" max="2317" width="12.7109375" style="8" customWidth="1"/>
    <col min="2318" max="2318" width="12.5703125" style="8" customWidth="1"/>
    <col min="2319" max="2319" width="14.28515625" style="8" customWidth="1"/>
    <col min="2320" max="2320" width="17.42578125" style="8" customWidth="1"/>
    <col min="2321" max="2321" width="12.42578125" style="8" customWidth="1"/>
    <col min="2322" max="2322" width="14.5703125" style="8" customWidth="1"/>
    <col min="2323" max="2323" width="12.85546875" style="8" customWidth="1"/>
    <col min="2324" max="2324" width="13.85546875" style="8" customWidth="1"/>
    <col min="2325" max="2325" width="15.28515625" style="8" customWidth="1"/>
    <col min="2326" max="2326" width="15.42578125" style="8" customWidth="1"/>
    <col min="2327" max="2328" width="14.7109375" style="8" customWidth="1"/>
    <col min="2329" max="2329" width="12.5703125" style="8" customWidth="1"/>
    <col min="2330" max="2330" width="13.28515625" style="8" customWidth="1"/>
    <col min="2331" max="2331" width="17.5703125" style="8" customWidth="1"/>
    <col min="2332" max="2332" width="17.7109375" style="8" customWidth="1"/>
    <col min="2333" max="2333" width="17.5703125" style="8" customWidth="1"/>
    <col min="2334" max="2560" width="9.140625" style="8"/>
    <col min="2561" max="2561" width="5.42578125" style="8" customWidth="1"/>
    <col min="2562" max="2562" width="23.85546875" style="8" customWidth="1"/>
    <col min="2563" max="2563" width="16.140625" style="8" customWidth="1"/>
    <col min="2564" max="2564" width="13.85546875" style="8" customWidth="1"/>
    <col min="2565" max="2566" width="11.7109375" style="8" customWidth="1"/>
    <col min="2567" max="2567" width="16" style="8" customWidth="1"/>
    <col min="2568" max="2568" width="16.85546875" style="8" customWidth="1"/>
    <col min="2569" max="2569" width="16.42578125" style="8" customWidth="1"/>
    <col min="2570" max="2570" width="12.42578125" style="8" customWidth="1"/>
    <col min="2571" max="2571" width="12.7109375" style="8" customWidth="1"/>
    <col min="2572" max="2572" width="15" style="8" customWidth="1"/>
    <col min="2573" max="2573" width="12.7109375" style="8" customWidth="1"/>
    <col min="2574" max="2574" width="12.5703125" style="8" customWidth="1"/>
    <col min="2575" max="2575" width="14.28515625" style="8" customWidth="1"/>
    <col min="2576" max="2576" width="17.42578125" style="8" customWidth="1"/>
    <col min="2577" max="2577" width="12.42578125" style="8" customWidth="1"/>
    <col min="2578" max="2578" width="14.5703125" style="8" customWidth="1"/>
    <col min="2579" max="2579" width="12.85546875" style="8" customWidth="1"/>
    <col min="2580" max="2580" width="13.85546875" style="8" customWidth="1"/>
    <col min="2581" max="2581" width="15.28515625" style="8" customWidth="1"/>
    <col min="2582" max="2582" width="15.42578125" style="8" customWidth="1"/>
    <col min="2583" max="2584" width="14.7109375" style="8" customWidth="1"/>
    <col min="2585" max="2585" width="12.5703125" style="8" customWidth="1"/>
    <col min="2586" max="2586" width="13.28515625" style="8" customWidth="1"/>
    <col min="2587" max="2587" width="17.5703125" style="8" customWidth="1"/>
    <col min="2588" max="2588" width="17.7109375" style="8" customWidth="1"/>
    <col min="2589" max="2589" width="17.5703125" style="8" customWidth="1"/>
    <col min="2590" max="2816" width="9.140625" style="8"/>
    <col min="2817" max="2817" width="5.42578125" style="8" customWidth="1"/>
    <col min="2818" max="2818" width="23.85546875" style="8" customWidth="1"/>
    <col min="2819" max="2819" width="16.140625" style="8" customWidth="1"/>
    <col min="2820" max="2820" width="13.85546875" style="8" customWidth="1"/>
    <col min="2821" max="2822" width="11.7109375" style="8" customWidth="1"/>
    <col min="2823" max="2823" width="16" style="8" customWidth="1"/>
    <col min="2824" max="2824" width="16.85546875" style="8" customWidth="1"/>
    <col min="2825" max="2825" width="16.42578125" style="8" customWidth="1"/>
    <col min="2826" max="2826" width="12.42578125" style="8" customWidth="1"/>
    <col min="2827" max="2827" width="12.7109375" style="8" customWidth="1"/>
    <col min="2828" max="2828" width="15" style="8" customWidth="1"/>
    <col min="2829" max="2829" width="12.7109375" style="8" customWidth="1"/>
    <col min="2830" max="2830" width="12.5703125" style="8" customWidth="1"/>
    <col min="2831" max="2831" width="14.28515625" style="8" customWidth="1"/>
    <col min="2832" max="2832" width="17.42578125" style="8" customWidth="1"/>
    <col min="2833" max="2833" width="12.42578125" style="8" customWidth="1"/>
    <col min="2834" max="2834" width="14.5703125" style="8" customWidth="1"/>
    <col min="2835" max="2835" width="12.85546875" style="8" customWidth="1"/>
    <col min="2836" max="2836" width="13.85546875" style="8" customWidth="1"/>
    <col min="2837" max="2837" width="15.28515625" style="8" customWidth="1"/>
    <col min="2838" max="2838" width="15.42578125" style="8" customWidth="1"/>
    <col min="2839" max="2840" width="14.7109375" style="8" customWidth="1"/>
    <col min="2841" max="2841" width="12.5703125" style="8" customWidth="1"/>
    <col min="2842" max="2842" width="13.28515625" style="8" customWidth="1"/>
    <col min="2843" max="2843" width="17.5703125" style="8" customWidth="1"/>
    <col min="2844" max="2844" width="17.7109375" style="8" customWidth="1"/>
    <col min="2845" max="2845" width="17.5703125" style="8" customWidth="1"/>
    <col min="2846" max="3072" width="9.140625" style="8"/>
    <col min="3073" max="3073" width="5.42578125" style="8" customWidth="1"/>
    <col min="3074" max="3074" width="23.85546875" style="8" customWidth="1"/>
    <col min="3075" max="3075" width="16.140625" style="8" customWidth="1"/>
    <col min="3076" max="3076" width="13.85546875" style="8" customWidth="1"/>
    <col min="3077" max="3078" width="11.7109375" style="8" customWidth="1"/>
    <col min="3079" max="3079" width="16" style="8" customWidth="1"/>
    <col min="3080" max="3080" width="16.85546875" style="8" customWidth="1"/>
    <col min="3081" max="3081" width="16.42578125" style="8" customWidth="1"/>
    <col min="3082" max="3082" width="12.42578125" style="8" customWidth="1"/>
    <col min="3083" max="3083" width="12.7109375" style="8" customWidth="1"/>
    <col min="3084" max="3084" width="15" style="8" customWidth="1"/>
    <col min="3085" max="3085" width="12.7109375" style="8" customWidth="1"/>
    <col min="3086" max="3086" width="12.5703125" style="8" customWidth="1"/>
    <col min="3087" max="3087" width="14.28515625" style="8" customWidth="1"/>
    <col min="3088" max="3088" width="17.42578125" style="8" customWidth="1"/>
    <col min="3089" max="3089" width="12.42578125" style="8" customWidth="1"/>
    <col min="3090" max="3090" width="14.5703125" style="8" customWidth="1"/>
    <col min="3091" max="3091" width="12.85546875" style="8" customWidth="1"/>
    <col min="3092" max="3092" width="13.85546875" style="8" customWidth="1"/>
    <col min="3093" max="3093" width="15.28515625" style="8" customWidth="1"/>
    <col min="3094" max="3094" width="15.42578125" style="8" customWidth="1"/>
    <col min="3095" max="3096" width="14.7109375" style="8" customWidth="1"/>
    <col min="3097" max="3097" width="12.5703125" style="8" customWidth="1"/>
    <col min="3098" max="3098" width="13.28515625" style="8" customWidth="1"/>
    <col min="3099" max="3099" width="17.5703125" style="8" customWidth="1"/>
    <col min="3100" max="3100" width="17.7109375" style="8" customWidth="1"/>
    <col min="3101" max="3101" width="17.5703125" style="8" customWidth="1"/>
    <col min="3102" max="3328" width="9.140625" style="8"/>
    <col min="3329" max="3329" width="5.42578125" style="8" customWidth="1"/>
    <col min="3330" max="3330" width="23.85546875" style="8" customWidth="1"/>
    <col min="3331" max="3331" width="16.140625" style="8" customWidth="1"/>
    <col min="3332" max="3332" width="13.85546875" style="8" customWidth="1"/>
    <col min="3333" max="3334" width="11.7109375" style="8" customWidth="1"/>
    <col min="3335" max="3335" width="16" style="8" customWidth="1"/>
    <col min="3336" max="3336" width="16.85546875" style="8" customWidth="1"/>
    <col min="3337" max="3337" width="16.42578125" style="8" customWidth="1"/>
    <col min="3338" max="3338" width="12.42578125" style="8" customWidth="1"/>
    <col min="3339" max="3339" width="12.7109375" style="8" customWidth="1"/>
    <col min="3340" max="3340" width="15" style="8" customWidth="1"/>
    <col min="3341" max="3341" width="12.7109375" style="8" customWidth="1"/>
    <col min="3342" max="3342" width="12.5703125" style="8" customWidth="1"/>
    <col min="3343" max="3343" width="14.28515625" style="8" customWidth="1"/>
    <col min="3344" max="3344" width="17.42578125" style="8" customWidth="1"/>
    <col min="3345" max="3345" width="12.42578125" style="8" customWidth="1"/>
    <col min="3346" max="3346" width="14.5703125" style="8" customWidth="1"/>
    <col min="3347" max="3347" width="12.85546875" style="8" customWidth="1"/>
    <col min="3348" max="3348" width="13.85546875" style="8" customWidth="1"/>
    <col min="3349" max="3349" width="15.28515625" style="8" customWidth="1"/>
    <col min="3350" max="3350" width="15.42578125" style="8" customWidth="1"/>
    <col min="3351" max="3352" width="14.7109375" style="8" customWidth="1"/>
    <col min="3353" max="3353" width="12.5703125" style="8" customWidth="1"/>
    <col min="3354" max="3354" width="13.28515625" style="8" customWidth="1"/>
    <col min="3355" max="3355" width="17.5703125" style="8" customWidth="1"/>
    <col min="3356" max="3356" width="17.7109375" style="8" customWidth="1"/>
    <col min="3357" max="3357" width="17.5703125" style="8" customWidth="1"/>
    <col min="3358" max="3584" width="9.140625" style="8"/>
    <col min="3585" max="3585" width="5.42578125" style="8" customWidth="1"/>
    <col min="3586" max="3586" width="23.85546875" style="8" customWidth="1"/>
    <col min="3587" max="3587" width="16.140625" style="8" customWidth="1"/>
    <col min="3588" max="3588" width="13.85546875" style="8" customWidth="1"/>
    <col min="3589" max="3590" width="11.7109375" style="8" customWidth="1"/>
    <col min="3591" max="3591" width="16" style="8" customWidth="1"/>
    <col min="3592" max="3592" width="16.85546875" style="8" customWidth="1"/>
    <col min="3593" max="3593" width="16.42578125" style="8" customWidth="1"/>
    <col min="3594" max="3594" width="12.42578125" style="8" customWidth="1"/>
    <col min="3595" max="3595" width="12.7109375" style="8" customWidth="1"/>
    <col min="3596" max="3596" width="15" style="8" customWidth="1"/>
    <col min="3597" max="3597" width="12.7109375" style="8" customWidth="1"/>
    <col min="3598" max="3598" width="12.5703125" style="8" customWidth="1"/>
    <col min="3599" max="3599" width="14.28515625" style="8" customWidth="1"/>
    <col min="3600" max="3600" width="17.42578125" style="8" customWidth="1"/>
    <col min="3601" max="3601" width="12.42578125" style="8" customWidth="1"/>
    <col min="3602" max="3602" width="14.5703125" style="8" customWidth="1"/>
    <col min="3603" max="3603" width="12.85546875" style="8" customWidth="1"/>
    <col min="3604" max="3604" width="13.85546875" style="8" customWidth="1"/>
    <col min="3605" max="3605" width="15.28515625" style="8" customWidth="1"/>
    <col min="3606" max="3606" width="15.42578125" style="8" customWidth="1"/>
    <col min="3607" max="3608" width="14.7109375" style="8" customWidth="1"/>
    <col min="3609" max="3609" width="12.5703125" style="8" customWidth="1"/>
    <col min="3610" max="3610" width="13.28515625" style="8" customWidth="1"/>
    <col min="3611" max="3611" width="17.5703125" style="8" customWidth="1"/>
    <col min="3612" max="3612" width="17.7109375" style="8" customWidth="1"/>
    <col min="3613" max="3613" width="17.5703125" style="8" customWidth="1"/>
    <col min="3614" max="3840" width="9.140625" style="8"/>
    <col min="3841" max="3841" width="5.42578125" style="8" customWidth="1"/>
    <col min="3842" max="3842" width="23.85546875" style="8" customWidth="1"/>
    <col min="3843" max="3843" width="16.140625" style="8" customWidth="1"/>
    <col min="3844" max="3844" width="13.85546875" style="8" customWidth="1"/>
    <col min="3845" max="3846" width="11.7109375" style="8" customWidth="1"/>
    <col min="3847" max="3847" width="16" style="8" customWidth="1"/>
    <col min="3848" max="3848" width="16.85546875" style="8" customWidth="1"/>
    <col min="3849" max="3849" width="16.42578125" style="8" customWidth="1"/>
    <col min="3850" max="3850" width="12.42578125" style="8" customWidth="1"/>
    <col min="3851" max="3851" width="12.7109375" style="8" customWidth="1"/>
    <col min="3852" max="3852" width="15" style="8" customWidth="1"/>
    <col min="3853" max="3853" width="12.7109375" style="8" customWidth="1"/>
    <col min="3854" max="3854" width="12.5703125" style="8" customWidth="1"/>
    <col min="3855" max="3855" width="14.28515625" style="8" customWidth="1"/>
    <col min="3856" max="3856" width="17.42578125" style="8" customWidth="1"/>
    <col min="3857" max="3857" width="12.42578125" style="8" customWidth="1"/>
    <col min="3858" max="3858" width="14.5703125" style="8" customWidth="1"/>
    <col min="3859" max="3859" width="12.85546875" style="8" customWidth="1"/>
    <col min="3860" max="3860" width="13.85546875" style="8" customWidth="1"/>
    <col min="3861" max="3861" width="15.28515625" style="8" customWidth="1"/>
    <col min="3862" max="3862" width="15.42578125" style="8" customWidth="1"/>
    <col min="3863" max="3864" width="14.7109375" style="8" customWidth="1"/>
    <col min="3865" max="3865" width="12.5703125" style="8" customWidth="1"/>
    <col min="3866" max="3866" width="13.28515625" style="8" customWidth="1"/>
    <col min="3867" max="3867" width="17.5703125" style="8" customWidth="1"/>
    <col min="3868" max="3868" width="17.7109375" style="8" customWidth="1"/>
    <col min="3869" max="3869" width="17.5703125" style="8" customWidth="1"/>
    <col min="3870" max="4096" width="9.140625" style="8"/>
    <col min="4097" max="4097" width="5.42578125" style="8" customWidth="1"/>
    <col min="4098" max="4098" width="23.85546875" style="8" customWidth="1"/>
    <col min="4099" max="4099" width="16.140625" style="8" customWidth="1"/>
    <col min="4100" max="4100" width="13.85546875" style="8" customWidth="1"/>
    <col min="4101" max="4102" width="11.7109375" style="8" customWidth="1"/>
    <col min="4103" max="4103" width="16" style="8" customWidth="1"/>
    <col min="4104" max="4104" width="16.85546875" style="8" customWidth="1"/>
    <col min="4105" max="4105" width="16.42578125" style="8" customWidth="1"/>
    <col min="4106" max="4106" width="12.42578125" style="8" customWidth="1"/>
    <col min="4107" max="4107" width="12.7109375" style="8" customWidth="1"/>
    <col min="4108" max="4108" width="15" style="8" customWidth="1"/>
    <col min="4109" max="4109" width="12.7109375" style="8" customWidth="1"/>
    <col min="4110" max="4110" width="12.5703125" style="8" customWidth="1"/>
    <col min="4111" max="4111" width="14.28515625" style="8" customWidth="1"/>
    <col min="4112" max="4112" width="17.42578125" style="8" customWidth="1"/>
    <col min="4113" max="4113" width="12.42578125" style="8" customWidth="1"/>
    <col min="4114" max="4114" width="14.5703125" style="8" customWidth="1"/>
    <col min="4115" max="4115" width="12.85546875" style="8" customWidth="1"/>
    <col min="4116" max="4116" width="13.85546875" style="8" customWidth="1"/>
    <col min="4117" max="4117" width="15.28515625" style="8" customWidth="1"/>
    <col min="4118" max="4118" width="15.42578125" style="8" customWidth="1"/>
    <col min="4119" max="4120" width="14.7109375" style="8" customWidth="1"/>
    <col min="4121" max="4121" width="12.5703125" style="8" customWidth="1"/>
    <col min="4122" max="4122" width="13.28515625" style="8" customWidth="1"/>
    <col min="4123" max="4123" width="17.5703125" style="8" customWidth="1"/>
    <col min="4124" max="4124" width="17.7109375" style="8" customWidth="1"/>
    <col min="4125" max="4125" width="17.5703125" style="8" customWidth="1"/>
    <col min="4126" max="4352" width="9.140625" style="8"/>
    <col min="4353" max="4353" width="5.42578125" style="8" customWidth="1"/>
    <col min="4354" max="4354" width="23.85546875" style="8" customWidth="1"/>
    <col min="4355" max="4355" width="16.140625" style="8" customWidth="1"/>
    <col min="4356" max="4356" width="13.85546875" style="8" customWidth="1"/>
    <col min="4357" max="4358" width="11.7109375" style="8" customWidth="1"/>
    <col min="4359" max="4359" width="16" style="8" customWidth="1"/>
    <col min="4360" max="4360" width="16.85546875" style="8" customWidth="1"/>
    <col min="4361" max="4361" width="16.42578125" style="8" customWidth="1"/>
    <col min="4362" max="4362" width="12.42578125" style="8" customWidth="1"/>
    <col min="4363" max="4363" width="12.7109375" style="8" customWidth="1"/>
    <col min="4364" max="4364" width="15" style="8" customWidth="1"/>
    <col min="4365" max="4365" width="12.7109375" style="8" customWidth="1"/>
    <col min="4366" max="4366" width="12.5703125" style="8" customWidth="1"/>
    <col min="4367" max="4367" width="14.28515625" style="8" customWidth="1"/>
    <col min="4368" max="4368" width="17.42578125" style="8" customWidth="1"/>
    <col min="4369" max="4369" width="12.42578125" style="8" customWidth="1"/>
    <col min="4370" max="4370" width="14.5703125" style="8" customWidth="1"/>
    <col min="4371" max="4371" width="12.85546875" style="8" customWidth="1"/>
    <col min="4372" max="4372" width="13.85546875" style="8" customWidth="1"/>
    <col min="4373" max="4373" width="15.28515625" style="8" customWidth="1"/>
    <col min="4374" max="4374" width="15.42578125" style="8" customWidth="1"/>
    <col min="4375" max="4376" width="14.7109375" style="8" customWidth="1"/>
    <col min="4377" max="4377" width="12.5703125" style="8" customWidth="1"/>
    <col min="4378" max="4378" width="13.28515625" style="8" customWidth="1"/>
    <col min="4379" max="4379" width="17.5703125" style="8" customWidth="1"/>
    <col min="4380" max="4380" width="17.7109375" style="8" customWidth="1"/>
    <col min="4381" max="4381" width="17.5703125" style="8" customWidth="1"/>
    <col min="4382" max="4608" width="9.140625" style="8"/>
    <col min="4609" max="4609" width="5.42578125" style="8" customWidth="1"/>
    <col min="4610" max="4610" width="23.85546875" style="8" customWidth="1"/>
    <col min="4611" max="4611" width="16.140625" style="8" customWidth="1"/>
    <col min="4612" max="4612" width="13.85546875" style="8" customWidth="1"/>
    <col min="4613" max="4614" width="11.7109375" style="8" customWidth="1"/>
    <col min="4615" max="4615" width="16" style="8" customWidth="1"/>
    <col min="4616" max="4616" width="16.85546875" style="8" customWidth="1"/>
    <col min="4617" max="4617" width="16.42578125" style="8" customWidth="1"/>
    <col min="4618" max="4618" width="12.42578125" style="8" customWidth="1"/>
    <col min="4619" max="4619" width="12.7109375" style="8" customWidth="1"/>
    <col min="4620" max="4620" width="15" style="8" customWidth="1"/>
    <col min="4621" max="4621" width="12.7109375" style="8" customWidth="1"/>
    <col min="4622" max="4622" width="12.5703125" style="8" customWidth="1"/>
    <col min="4623" max="4623" width="14.28515625" style="8" customWidth="1"/>
    <col min="4624" max="4624" width="17.42578125" style="8" customWidth="1"/>
    <col min="4625" max="4625" width="12.42578125" style="8" customWidth="1"/>
    <col min="4626" max="4626" width="14.5703125" style="8" customWidth="1"/>
    <col min="4627" max="4627" width="12.85546875" style="8" customWidth="1"/>
    <col min="4628" max="4628" width="13.85546875" style="8" customWidth="1"/>
    <col min="4629" max="4629" width="15.28515625" style="8" customWidth="1"/>
    <col min="4630" max="4630" width="15.42578125" style="8" customWidth="1"/>
    <col min="4631" max="4632" width="14.7109375" style="8" customWidth="1"/>
    <col min="4633" max="4633" width="12.5703125" style="8" customWidth="1"/>
    <col min="4634" max="4634" width="13.28515625" style="8" customWidth="1"/>
    <col min="4635" max="4635" width="17.5703125" style="8" customWidth="1"/>
    <col min="4636" max="4636" width="17.7109375" style="8" customWidth="1"/>
    <col min="4637" max="4637" width="17.5703125" style="8" customWidth="1"/>
    <col min="4638" max="4864" width="9.140625" style="8"/>
    <col min="4865" max="4865" width="5.42578125" style="8" customWidth="1"/>
    <col min="4866" max="4866" width="23.85546875" style="8" customWidth="1"/>
    <col min="4867" max="4867" width="16.140625" style="8" customWidth="1"/>
    <col min="4868" max="4868" width="13.85546875" style="8" customWidth="1"/>
    <col min="4869" max="4870" width="11.7109375" style="8" customWidth="1"/>
    <col min="4871" max="4871" width="16" style="8" customWidth="1"/>
    <col min="4872" max="4872" width="16.85546875" style="8" customWidth="1"/>
    <col min="4873" max="4873" width="16.42578125" style="8" customWidth="1"/>
    <col min="4874" max="4874" width="12.42578125" style="8" customWidth="1"/>
    <col min="4875" max="4875" width="12.7109375" style="8" customWidth="1"/>
    <col min="4876" max="4876" width="15" style="8" customWidth="1"/>
    <col min="4877" max="4877" width="12.7109375" style="8" customWidth="1"/>
    <col min="4878" max="4878" width="12.5703125" style="8" customWidth="1"/>
    <col min="4879" max="4879" width="14.28515625" style="8" customWidth="1"/>
    <col min="4880" max="4880" width="17.42578125" style="8" customWidth="1"/>
    <col min="4881" max="4881" width="12.42578125" style="8" customWidth="1"/>
    <col min="4882" max="4882" width="14.5703125" style="8" customWidth="1"/>
    <col min="4883" max="4883" width="12.85546875" style="8" customWidth="1"/>
    <col min="4884" max="4884" width="13.85546875" style="8" customWidth="1"/>
    <col min="4885" max="4885" width="15.28515625" style="8" customWidth="1"/>
    <col min="4886" max="4886" width="15.42578125" style="8" customWidth="1"/>
    <col min="4887" max="4888" width="14.7109375" style="8" customWidth="1"/>
    <col min="4889" max="4889" width="12.5703125" style="8" customWidth="1"/>
    <col min="4890" max="4890" width="13.28515625" style="8" customWidth="1"/>
    <col min="4891" max="4891" width="17.5703125" style="8" customWidth="1"/>
    <col min="4892" max="4892" width="17.7109375" style="8" customWidth="1"/>
    <col min="4893" max="4893" width="17.5703125" style="8" customWidth="1"/>
    <col min="4894" max="5120" width="9.140625" style="8"/>
    <col min="5121" max="5121" width="5.42578125" style="8" customWidth="1"/>
    <col min="5122" max="5122" width="23.85546875" style="8" customWidth="1"/>
    <col min="5123" max="5123" width="16.140625" style="8" customWidth="1"/>
    <col min="5124" max="5124" width="13.85546875" style="8" customWidth="1"/>
    <col min="5125" max="5126" width="11.7109375" style="8" customWidth="1"/>
    <col min="5127" max="5127" width="16" style="8" customWidth="1"/>
    <col min="5128" max="5128" width="16.85546875" style="8" customWidth="1"/>
    <col min="5129" max="5129" width="16.42578125" style="8" customWidth="1"/>
    <col min="5130" max="5130" width="12.42578125" style="8" customWidth="1"/>
    <col min="5131" max="5131" width="12.7109375" style="8" customWidth="1"/>
    <col min="5132" max="5132" width="15" style="8" customWidth="1"/>
    <col min="5133" max="5133" width="12.7109375" style="8" customWidth="1"/>
    <col min="5134" max="5134" width="12.5703125" style="8" customWidth="1"/>
    <col min="5135" max="5135" width="14.28515625" style="8" customWidth="1"/>
    <col min="5136" max="5136" width="17.42578125" style="8" customWidth="1"/>
    <col min="5137" max="5137" width="12.42578125" style="8" customWidth="1"/>
    <col min="5138" max="5138" width="14.5703125" style="8" customWidth="1"/>
    <col min="5139" max="5139" width="12.85546875" style="8" customWidth="1"/>
    <col min="5140" max="5140" width="13.85546875" style="8" customWidth="1"/>
    <col min="5141" max="5141" width="15.28515625" style="8" customWidth="1"/>
    <col min="5142" max="5142" width="15.42578125" style="8" customWidth="1"/>
    <col min="5143" max="5144" width="14.7109375" style="8" customWidth="1"/>
    <col min="5145" max="5145" width="12.5703125" style="8" customWidth="1"/>
    <col min="5146" max="5146" width="13.28515625" style="8" customWidth="1"/>
    <col min="5147" max="5147" width="17.5703125" style="8" customWidth="1"/>
    <col min="5148" max="5148" width="17.7109375" style="8" customWidth="1"/>
    <col min="5149" max="5149" width="17.5703125" style="8" customWidth="1"/>
    <col min="5150" max="5376" width="9.140625" style="8"/>
    <col min="5377" max="5377" width="5.42578125" style="8" customWidth="1"/>
    <col min="5378" max="5378" width="23.85546875" style="8" customWidth="1"/>
    <col min="5379" max="5379" width="16.140625" style="8" customWidth="1"/>
    <col min="5380" max="5380" width="13.85546875" style="8" customWidth="1"/>
    <col min="5381" max="5382" width="11.7109375" style="8" customWidth="1"/>
    <col min="5383" max="5383" width="16" style="8" customWidth="1"/>
    <col min="5384" max="5384" width="16.85546875" style="8" customWidth="1"/>
    <col min="5385" max="5385" width="16.42578125" style="8" customWidth="1"/>
    <col min="5386" max="5386" width="12.42578125" style="8" customWidth="1"/>
    <col min="5387" max="5387" width="12.7109375" style="8" customWidth="1"/>
    <col min="5388" max="5388" width="15" style="8" customWidth="1"/>
    <col min="5389" max="5389" width="12.7109375" style="8" customWidth="1"/>
    <col min="5390" max="5390" width="12.5703125" style="8" customWidth="1"/>
    <col min="5391" max="5391" width="14.28515625" style="8" customWidth="1"/>
    <col min="5392" max="5392" width="17.42578125" style="8" customWidth="1"/>
    <col min="5393" max="5393" width="12.42578125" style="8" customWidth="1"/>
    <col min="5394" max="5394" width="14.5703125" style="8" customWidth="1"/>
    <col min="5395" max="5395" width="12.85546875" style="8" customWidth="1"/>
    <col min="5396" max="5396" width="13.85546875" style="8" customWidth="1"/>
    <col min="5397" max="5397" width="15.28515625" style="8" customWidth="1"/>
    <col min="5398" max="5398" width="15.42578125" style="8" customWidth="1"/>
    <col min="5399" max="5400" width="14.7109375" style="8" customWidth="1"/>
    <col min="5401" max="5401" width="12.5703125" style="8" customWidth="1"/>
    <col min="5402" max="5402" width="13.28515625" style="8" customWidth="1"/>
    <col min="5403" max="5403" width="17.5703125" style="8" customWidth="1"/>
    <col min="5404" max="5404" width="17.7109375" style="8" customWidth="1"/>
    <col min="5405" max="5405" width="17.5703125" style="8" customWidth="1"/>
    <col min="5406" max="5632" width="9.140625" style="8"/>
    <col min="5633" max="5633" width="5.42578125" style="8" customWidth="1"/>
    <col min="5634" max="5634" width="23.85546875" style="8" customWidth="1"/>
    <col min="5635" max="5635" width="16.140625" style="8" customWidth="1"/>
    <col min="5636" max="5636" width="13.85546875" style="8" customWidth="1"/>
    <col min="5637" max="5638" width="11.7109375" style="8" customWidth="1"/>
    <col min="5639" max="5639" width="16" style="8" customWidth="1"/>
    <col min="5640" max="5640" width="16.85546875" style="8" customWidth="1"/>
    <col min="5641" max="5641" width="16.42578125" style="8" customWidth="1"/>
    <col min="5642" max="5642" width="12.42578125" style="8" customWidth="1"/>
    <col min="5643" max="5643" width="12.7109375" style="8" customWidth="1"/>
    <col min="5644" max="5644" width="15" style="8" customWidth="1"/>
    <col min="5645" max="5645" width="12.7109375" style="8" customWidth="1"/>
    <col min="5646" max="5646" width="12.5703125" style="8" customWidth="1"/>
    <col min="5647" max="5647" width="14.28515625" style="8" customWidth="1"/>
    <col min="5648" max="5648" width="17.42578125" style="8" customWidth="1"/>
    <col min="5649" max="5649" width="12.42578125" style="8" customWidth="1"/>
    <col min="5650" max="5650" width="14.5703125" style="8" customWidth="1"/>
    <col min="5651" max="5651" width="12.85546875" style="8" customWidth="1"/>
    <col min="5652" max="5652" width="13.85546875" style="8" customWidth="1"/>
    <col min="5653" max="5653" width="15.28515625" style="8" customWidth="1"/>
    <col min="5654" max="5654" width="15.42578125" style="8" customWidth="1"/>
    <col min="5655" max="5656" width="14.7109375" style="8" customWidth="1"/>
    <col min="5657" max="5657" width="12.5703125" style="8" customWidth="1"/>
    <col min="5658" max="5658" width="13.28515625" style="8" customWidth="1"/>
    <col min="5659" max="5659" width="17.5703125" style="8" customWidth="1"/>
    <col min="5660" max="5660" width="17.7109375" style="8" customWidth="1"/>
    <col min="5661" max="5661" width="17.5703125" style="8" customWidth="1"/>
    <col min="5662" max="5888" width="9.140625" style="8"/>
    <col min="5889" max="5889" width="5.42578125" style="8" customWidth="1"/>
    <col min="5890" max="5890" width="23.85546875" style="8" customWidth="1"/>
    <col min="5891" max="5891" width="16.140625" style="8" customWidth="1"/>
    <col min="5892" max="5892" width="13.85546875" style="8" customWidth="1"/>
    <col min="5893" max="5894" width="11.7109375" style="8" customWidth="1"/>
    <col min="5895" max="5895" width="16" style="8" customWidth="1"/>
    <col min="5896" max="5896" width="16.85546875" style="8" customWidth="1"/>
    <col min="5897" max="5897" width="16.42578125" style="8" customWidth="1"/>
    <col min="5898" max="5898" width="12.42578125" style="8" customWidth="1"/>
    <col min="5899" max="5899" width="12.7109375" style="8" customWidth="1"/>
    <col min="5900" max="5900" width="15" style="8" customWidth="1"/>
    <col min="5901" max="5901" width="12.7109375" style="8" customWidth="1"/>
    <col min="5902" max="5902" width="12.5703125" style="8" customWidth="1"/>
    <col min="5903" max="5903" width="14.28515625" style="8" customWidth="1"/>
    <col min="5904" max="5904" width="17.42578125" style="8" customWidth="1"/>
    <col min="5905" max="5905" width="12.42578125" style="8" customWidth="1"/>
    <col min="5906" max="5906" width="14.5703125" style="8" customWidth="1"/>
    <col min="5907" max="5907" width="12.85546875" style="8" customWidth="1"/>
    <col min="5908" max="5908" width="13.85546875" style="8" customWidth="1"/>
    <col min="5909" max="5909" width="15.28515625" style="8" customWidth="1"/>
    <col min="5910" max="5910" width="15.42578125" style="8" customWidth="1"/>
    <col min="5911" max="5912" width="14.7109375" style="8" customWidth="1"/>
    <col min="5913" max="5913" width="12.5703125" style="8" customWidth="1"/>
    <col min="5914" max="5914" width="13.28515625" style="8" customWidth="1"/>
    <col min="5915" max="5915" width="17.5703125" style="8" customWidth="1"/>
    <col min="5916" max="5916" width="17.7109375" style="8" customWidth="1"/>
    <col min="5917" max="5917" width="17.5703125" style="8" customWidth="1"/>
    <col min="5918" max="6144" width="9.140625" style="8"/>
    <col min="6145" max="6145" width="5.42578125" style="8" customWidth="1"/>
    <col min="6146" max="6146" width="23.85546875" style="8" customWidth="1"/>
    <col min="6147" max="6147" width="16.140625" style="8" customWidth="1"/>
    <col min="6148" max="6148" width="13.85546875" style="8" customWidth="1"/>
    <col min="6149" max="6150" width="11.7109375" style="8" customWidth="1"/>
    <col min="6151" max="6151" width="16" style="8" customWidth="1"/>
    <col min="6152" max="6152" width="16.85546875" style="8" customWidth="1"/>
    <col min="6153" max="6153" width="16.42578125" style="8" customWidth="1"/>
    <col min="6154" max="6154" width="12.42578125" style="8" customWidth="1"/>
    <col min="6155" max="6155" width="12.7109375" style="8" customWidth="1"/>
    <col min="6156" max="6156" width="15" style="8" customWidth="1"/>
    <col min="6157" max="6157" width="12.7109375" style="8" customWidth="1"/>
    <col min="6158" max="6158" width="12.5703125" style="8" customWidth="1"/>
    <col min="6159" max="6159" width="14.28515625" style="8" customWidth="1"/>
    <col min="6160" max="6160" width="17.42578125" style="8" customWidth="1"/>
    <col min="6161" max="6161" width="12.42578125" style="8" customWidth="1"/>
    <col min="6162" max="6162" width="14.5703125" style="8" customWidth="1"/>
    <col min="6163" max="6163" width="12.85546875" style="8" customWidth="1"/>
    <col min="6164" max="6164" width="13.85546875" style="8" customWidth="1"/>
    <col min="6165" max="6165" width="15.28515625" style="8" customWidth="1"/>
    <col min="6166" max="6166" width="15.42578125" style="8" customWidth="1"/>
    <col min="6167" max="6168" width="14.7109375" style="8" customWidth="1"/>
    <col min="6169" max="6169" width="12.5703125" style="8" customWidth="1"/>
    <col min="6170" max="6170" width="13.28515625" style="8" customWidth="1"/>
    <col min="6171" max="6171" width="17.5703125" style="8" customWidth="1"/>
    <col min="6172" max="6172" width="17.7109375" style="8" customWidth="1"/>
    <col min="6173" max="6173" width="17.5703125" style="8" customWidth="1"/>
    <col min="6174" max="6400" width="9.140625" style="8"/>
    <col min="6401" max="6401" width="5.42578125" style="8" customWidth="1"/>
    <col min="6402" max="6402" width="23.85546875" style="8" customWidth="1"/>
    <col min="6403" max="6403" width="16.140625" style="8" customWidth="1"/>
    <col min="6404" max="6404" width="13.85546875" style="8" customWidth="1"/>
    <col min="6405" max="6406" width="11.7109375" style="8" customWidth="1"/>
    <col min="6407" max="6407" width="16" style="8" customWidth="1"/>
    <col min="6408" max="6408" width="16.85546875" style="8" customWidth="1"/>
    <col min="6409" max="6409" width="16.42578125" style="8" customWidth="1"/>
    <col min="6410" max="6410" width="12.42578125" style="8" customWidth="1"/>
    <col min="6411" max="6411" width="12.7109375" style="8" customWidth="1"/>
    <col min="6412" max="6412" width="15" style="8" customWidth="1"/>
    <col min="6413" max="6413" width="12.7109375" style="8" customWidth="1"/>
    <col min="6414" max="6414" width="12.5703125" style="8" customWidth="1"/>
    <col min="6415" max="6415" width="14.28515625" style="8" customWidth="1"/>
    <col min="6416" max="6416" width="17.42578125" style="8" customWidth="1"/>
    <col min="6417" max="6417" width="12.42578125" style="8" customWidth="1"/>
    <col min="6418" max="6418" width="14.5703125" style="8" customWidth="1"/>
    <col min="6419" max="6419" width="12.85546875" style="8" customWidth="1"/>
    <col min="6420" max="6420" width="13.85546875" style="8" customWidth="1"/>
    <col min="6421" max="6421" width="15.28515625" style="8" customWidth="1"/>
    <col min="6422" max="6422" width="15.42578125" style="8" customWidth="1"/>
    <col min="6423" max="6424" width="14.7109375" style="8" customWidth="1"/>
    <col min="6425" max="6425" width="12.5703125" style="8" customWidth="1"/>
    <col min="6426" max="6426" width="13.28515625" style="8" customWidth="1"/>
    <col min="6427" max="6427" width="17.5703125" style="8" customWidth="1"/>
    <col min="6428" max="6428" width="17.7109375" style="8" customWidth="1"/>
    <col min="6429" max="6429" width="17.5703125" style="8" customWidth="1"/>
    <col min="6430" max="6656" width="9.140625" style="8"/>
    <col min="6657" max="6657" width="5.42578125" style="8" customWidth="1"/>
    <col min="6658" max="6658" width="23.85546875" style="8" customWidth="1"/>
    <col min="6659" max="6659" width="16.140625" style="8" customWidth="1"/>
    <col min="6660" max="6660" width="13.85546875" style="8" customWidth="1"/>
    <col min="6661" max="6662" width="11.7109375" style="8" customWidth="1"/>
    <col min="6663" max="6663" width="16" style="8" customWidth="1"/>
    <col min="6664" max="6664" width="16.85546875" style="8" customWidth="1"/>
    <col min="6665" max="6665" width="16.42578125" style="8" customWidth="1"/>
    <col min="6666" max="6666" width="12.42578125" style="8" customWidth="1"/>
    <col min="6667" max="6667" width="12.7109375" style="8" customWidth="1"/>
    <col min="6668" max="6668" width="15" style="8" customWidth="1"/>
    <col min="6669" max="6669" width="12.7109375" style="8" customWidth="1"/>
    <col min="6670" max="6670" width="12.5703125" style="8" customWidth="1"/>
    <col min="6671" max="6671" width="14.28515625" style="8" customWidth="1"/>
    <col min="6672" max="6672" width="17.42578125" style="8" customWidth="1"/>
    <col min="6673" max="6673" width="12.42578125" style="8" customWidth="1"/>
    <col min="6674" max="6674" width="14.5703125" style="8" customWidth="1"/>
    <col min="6675" max="6675" width="12.85546875" style="8" customWidth="1"/>
    <col min="6676" max="6676" width="13.85546875" style="8" customWidth="1"/>
    <col min="6677" max="6677" width="15.28515625" style="8" customWidth="1"/>
    <col min="6678" max="6678" width="15.42578125" style="8" customWidth="1"/>
    <col min="6679" max="6680" width="14.7109375" style="8" customWidth="1"/>
    <col min="6681" max="6681" width="12.5703125" style="8" customWidth="1"/>
    <col min="6682" max="6682" width="13.28515625" style="8" customWidth="1"/>
    <col min="6683" max="6683" width="17.5703125" style="8" customWidth="1"/>
    <col min="6684" max="6684" width="17.7109375" style="8" customWidth="1"/>
    <col min="6685" max="6685" width="17.5703125" style="8" customWidth="1"/>
    <col min="6686" max="6912" width="9.140625" style="8"/>
    <col min="6913" max="6913" width="5.42578125" style="8" customWidth="1"/>
    <col min="6914" max="6914" width="23.85546875" style="8" customWidth="1"/>
    <col min="6915" max="6915" width="16.140625" style="8" customWidth="1"/>
    <col min="6916" max="6916" width="13.85546875" style="8" customWidth="1"/>
    <col min="6917" max="6918" width="11.7109375" style="8" customWidth="1"/>
    <col min="6919" max="6919" width="16" style="8" customWidth="1"/>
    <col min="6920" max="6920" width="16.85546875" style="8" customWidth="1"/>
    <col min="6921" max="6921" width="16.42578125" style="8" customWidth="1"/>
    <col min="6922" max="6922" width="12.42578125" style="8" customWidth="1"/>
    <col min="6923" max="6923" width="12.7109375" style="8" customWidth="1"/>
    <col min="6924" max="6924" width="15" style="8" customWidth="1"/>
    <col min="6925" max="6925" width="12.7109375" style="8" customWidth="1"/>
    <col min="6926" max="6926" width="12.5703125" style="8" customWidth="1"/>
    <col min="6927" max="6927" width="14.28515625" style="8" customWidth="1"/>
    <col min="6928" max="6928" width="17.42578125" style="8" customWidth="1"/>
    <col min="6929" max="6929" width="12.42578125" style="8" customWidth="1"/>
    <col min="6930" max="6930" width="14.5703125" style="8" customWidth="1"/>
    <col min="6931" max="6931" width="12.85546875" style="8" customWidth="1"/>
    <col min="6932" max="6932" width="13.85546875" style="8" customWidth="1"/>
    <col min="6933" max="6933" width="15.28515625" style="8" customWidth="1"/>
    <col min="6934" max="6934" width="15.42578125" style="8" customWidth="1"/>
    <col min="6935" max="6936" width="14.7109375" style="8" customWidth="1"/>
    <col min="6937" max="6937" width="12.5703125" style="8" customWidth="1"/>
    <col min="6938" max="6938" width="13.28515625" style="8" customWidth="1"/>
    <col min="6939" max="6939" width="17.5703125" style="8" customWidth="1"/>
    <col min="6940" max="6940" width="17.7109375" style="8" customWidth="1"/>
    <col min="6941" max="6941" width="17.5703125" style="8" customWidth="1"/>
    <col min="6942" max="7168" width="9.140625" style="8"/>
    <col min="7169" max="7169" width="5.42578125" style="8" customWidth="1"/>
    <col min="7170" max="7170" width="23.85546875" style="8" customWidth="1"/>
    <col min="7171" max="7171" width="16.140625" style="8" customWidth="1"/>
    <col min="7172" max="7172" width="13.85546875" style="8" customWidth="1"/>
    <col min="7173" max="7174" width="11.7109375" style="8" customWidth="1"/>
    <col min="7175" max="7175" width="16" style="8" customWidth="1"/>
    <col min="7176" max="7176" width="16.85546875" style="8" customWidth="1"/>
    <col min="7177" max="7177" width="16.42578125" style="8" customWidth="1"/>
    <col min="7178" max="7178" width="12.42578125" style="8" customWidth="1"/>
    <col min="7179" max="7179" width="12.7109375" style="8" customWidth="1"/>
    <col min="7180" max="7180" width="15" style="8" customWidth="1"/>
    <col min="7181" max="7181" width="12.7109375" style="8" customWidth="1"/>
    <col min="7182" max="7182" width="12.5703125" style="8" customWidth="1"/>
    <col min="7183" max="7183" width="14.28515625" style="8" customWidth="1"/>
    <col min="7184" max="7184" width="17.42578125" style="8" customWidth="1"/>
    <col min="7185" max="7185" width="12.42578125" style="8" customWidth="1"/>
    <col min="7186" max="7186" width="14.5703125" style="8" customWidth="1"/>
    <col min="7187" max="7187" width="12.85546875" style="8" customWidth="1"/>
    <col min="7188" max="7188" width="13.85546875" style="8" customWidth="1"/>
    <col min="7189" max="7189" width="15.28515625" style="8" customWidth="1"/>
    <col min="7190" max="7190" width="15.42578125" style="8" customWidth="1"/>
    <col min="7191" max="7192" width="14.7109375" style="8" customWidth="1"/>
    <col min="7193" max="7193" width="12.5703125" style="8" customWidth="1"/>
    <col min="7194" max="7194" width="13.28515625" style="8" customWidth="1"/>
    <col min="7195" max="7195" width="17.5703125" style="8" customWidth="1"/>
    <col min="7196" max="7196" width="17.7109375" style="8" customWidth="1"/>
    <col min="7197" max="7197" width="17.5703125" style="8" customWidth="1"/>
    <col min="7198" max="7424" width="9.140625" style="8"/>
    <col min="7425" max="7425" width="5.42578125" style="8" customWidth="1"/>
    <col min="7426" max="7426" width="23.85546875" style="8" customWidth="1"/>
    <col min="7427" max="7427" width="16.140625" style="8" customWidth="1"/>
    <col min="7428" max="7428" width="13.85546875" style="8" customWidth="1"/>
    <col min="7429" max="7430" width="11.7109375" style="8" customWidth="1"/>
    <col min="7431" max="7431" width="16" style="8" customWidth="1"/>
    <col min="7432" max="7432" width="16.85546875" style="8" customWidth="1"/>
    <col min="7433" max="7433" width="16.42578125" style="8" customWidth="1"/>
    <col min="7434" max="7434" width="12.42578125" style="8" customWidth="1"/>
    <col min="7435" max="7435" width="12.7109375" style="8" customWidth="1"/>
    <col min="7436" max="7436" width="15" style="8" customWidth="1"/>
    <col min="7437" max="7437" width="12.7109375" style="8" customWidth="1"/>
    <col min="7438" max="7438" width="12.5703125" style="8" customWidth="1"/>
    <col min="7439" max="7439" width="14.28515625" style="8" customWidth="1"/>
    <col min="7440" max="7440" width="17.42578125" style="8" customWidth="1"/>
    <col min="7441" max="7441" width="12.42578125" style="8" customWidth="1"/>
    <col min="7442" max="7442" width="14.5703125" style="8" customWidth="1"/>
    <col min="7443" max="7443" width="12.85546875" style="8" customWidth="1"/>
    <col min="7444" max="7444" width="13.85546875" style="8" customWidth="1"/>
    <col min="7445" max="7445" width="15.28515625" style="8" customWidth="1"/>
    <col min="7446" max="7446" width="15.42578125" style="8" customWidth="1"/>
    <col min="7447" max="7448" width="14.7109375" style="8" customWidth="1"/>
    <col min="7449" max="7449" width="12.5703125" style="8" customWidth="1"/>
    <col min="7450" max="7450" width="13.28515625" style="8" customWidth="1"/>
    <col min="7451" max="7451" width="17.5703125" style="8" customWidth="1"/>
    <col min="7452" max="7452" width="17.7109375" style="8" customWidth="1"/>
    <col min="7453" max="7453" width="17.5703125" style="8" customWidth="1"/>
    <col min="7454" max="7680" width="9.140625" style="8"/>
    <col min="7681" max="7681" width="5.42578125" style="8" customWidth="1"/>
    <col min="7682" max="7682" width="23.85546875" style="8" customWidth="1"/>
    <col min="7683" max="7683" width="16.140625" style="8" customWidth="1"/>
    <col min="7684" max="7684" width="13.85546875" style="8" customWidth="1"/>
    <col min="7685" max="7686" width="11.7109375" style="8" customWidth="1"/>
    <col min="7687" max="7687" width="16" style="8" customWidth="1"/>
    <col min="7688" max="7688" width="16.85546875" style="8" customWidth="1"/>
    <col min="7689" max="7689" width="16.42578125" style="8" customWidth="1"/>
    <col min="7690" max="7690" width="12.42578125" style="8" customWidth="1"/>
    <col min="7691" max="7691" width="12.7109375" style="8" customWidth="1"/>
    <col min="7692" max="7692" width="15" style="8" customWidth="1"/>
    <col min="7693" max="7693" width="12.7109375" style="8" customWidth="1"/>
    <col min="7694" max="7694" width="12.5703125" style="8" customWidth="1"/>
    <col min="7695" max="7695" width="14.28515625" style="8" customWidth="1"/>
    <col min="7696" max="7696" width="17.42578125" style="8" customWidth="1"/>
    <col min="7697" max="7697" width="12.42578125" style="8" customWidth="1"/>
    <col min="7698" max="7698" width="14.5703125" style="8" customWidth="1"/>
    <col min="7699" max="7699" width="12.85546875" style="8" customWidth="1"/>
    <col min="7700" max="7700" width="13.85546875" style="8" customWidth="1"/>
    <col min="7701" max="7701" width="15.28515625" style="8" customWidth="1"/>
    <col min="7702" max="7702" width="15.42578125" style="8" customWidth="1"/>
    <col min="7703" max="7704" width="14.7109375" style="8" customWidth="1"/>
    <col min="7705" max="7705" width="12.5703125" style="8" customWidth="1"/>
    <col min="7706" max="7706" width="13.28515625" style="8" customWidth="1"/>
    <col min="7707" max="7707" width="17.5703125" style="8" customWidth="1"/>
    <col min="7708" max="7708" width="17.7109375" style="8" customWidth="1"/>
    <col min="7709" max="7709" width="17.5703125" style="8" customWidth="1"/>
    <col min="7710" max="7936" width="9.140625" style="8"/>
    <col min="7937" max="7937" width="5.42578125" style="8" customWidth="1"/>
    <col min="7938" max="7938" width="23.85546875" style="8" customWidth="1"/>
    <col min="7939" max="7939" width="16.140625" style="8" customWidth="1"/>
    <col min="7940" max="7940" width="13.85546875" style="8" customWidth="1"/>
    <col min="7941" max="7942" width="11.7109375" style="8" customWidth="1"/>
    <col min="7943" max="7943" width="16" style="8" customWidth="1"/>
    <col min="7944" max="7944" width="16.85546875" style="8" customWidth="1"/>
    <col min="7945" max="7945" width="16.42578125" style="8" customWidth="1"/>
    <col min="7946" max="7946" width="12.42578125" style="8" customWidth="1"/>
    <col min="7947" max="7947" width="12.7109375" style="8" customWidth="1"/>
    <col min="7948" max="7948" width="15" style="8" customWidth="1"/>
    <col min="7949" max="7949" width="12.7109375" style="8" customWidth="1"/>
    <col min="7950" max="7950" width="12.5703125" style="8" customWidth="1"/>
    <col min="7951" max="7951" width="14.28515625" style="8" customWidth="1"/>
    <col min="7952" max="7952" width="17.42578125" style="8" customWidth="1"/>
    <col min="7953" max="7953" width="12.42578125" style="8" customWidth="1"/>
    <col min="7954" max="7954" width="14.5703125" style="8" customWidth="1"/>
    <col min="7955" max="7955" width="12.85546875" style="8" customWidth="1"/>
    <col min="7956" max="7956" width="13.85546875" style="8" customWidth="1"/>
    <col min="7957" max="7957" width="15.28515625" style="8" customWidth="1"/>
    <col min="7958" max="7958" width="15.42578125" style="8" customWidth="1"/>
    <col min="7959" max="7960" width="14.7109375" style="8" customWidth="1"/>
    <col min="7961" max="7961" width="12.5703125" style="8" customWidth="1"/>
    <col min="7962" max="7962" width="13.28515625" style="8" customWidth="1"/>
    <col min="7963" max="7963" width="17.5703125" style="8" customWidth="1"/>
    <col min="7964" max="7964" width="17.7109375" style="8" customWidth="1"/>
    <col min="7965" max="7965" width="17.5703125" style="8" customWidth="1"/>
    <col min="7966" max="8192" width="9.140625" style="8"/>
    <col min="8193" max="8193" width="5.42578125" style="8" customWidth="1"/>
    <col min="8194" max="8194" width="23.85546875" style="8" customWidth="1"/>
    <col min="8195" max="8195" width="16.140625" style="8" customWidth="1"/>
    <col min="8196" max="8196" width="13.85546875" style="8" customWidth="1"/>
    <col min="8197" max="8198" width="11.7109375" style="8" customWidth="1"/>
    <col min="8199" max="8199" width="16" style="8" customWidth="1"/>
    <col min="8200" max="8200" width="16.85546875" style="8" customWidth="1"/>
    <col min="8201" max="8201" width="16.42578125" style="8" customWidth="1"/>
    <col min="8202" max="8202" width="12.42578125" style="8" customWidth="1"/>
    <col min="8203" max="8203" width="12.7109375" style="8" customWidth="1"/>
    <col min="8204" max="8204" width="15" style="8" customWidth="1"/>
    <col min="8205" max="8205" width="12.7109375" style="8" customWidth="1"/>
    <col min="8206" max="8206" width="12.5703125" style="8" customWidth="1"/>
    <col min="8207" max="8207" width="14.28515625" style="8" customWidth="1"/>
    <col min="8208" max="8208" width="17.42578125" style="8" customWidth="1"/>
    <col min="8209" max="8209" width="12.42578125" style="8" customWidth="1"/>
    <col min="8210" max="8210" width="14.5703125" style="8" customWidth="1"/>
    <col min="8211" max="8211" width="12.85546875" style="8" customWidth="1"/>
    <col min="8212" max="8212" width="13.85546875" style="8" customWidth="1"/>
    <col min="8213" max="8213" width="15.28515625" style="8" customWidth="1"/>
    <col min="8214" max="8214" width="15.42578125" style="8" customWidth="1"/>
    <col min="8215" max="8216" width="14.7109375" style="8" customWidth="1"/>
    <col min="8217" max="8217" width="12.5703125" style="8" customWidth="1"/>
    <col min="8218" max="8218" width="13.28515625" style="8" customWidth="1"/>
    <col min="8219" max="8219" width="17.5703125" style="8" customWidth="1"/>
    <col min="8220" max="8220" width="17.7109375" style="8" customWidth="1"/>
    <col min="8221" max="8221" width="17.5703125" style="8" customWidth="1"/>
    <col min="8222" max="8448" width="9.140625" style="8"/>
    <col min="8449" max="8449" width="5.42578125" style="8" customWidth="1"/>
    <col min="8450" max="8450" width="23.85546875" style="8" customWidth="1"/>
    <col min="8451" max="8451" width="16.140625" style="8" customWidth="1"/>
    <col min="8452" max="8452" width="13.85546875" style="8" customWidth="1"/>
    <col min="8453" max="8454" width="11.7109375" style="8" customWidth="1"/>
    <col min="8455" max="8455" width="16" style="8" customWidth="1"/>
    <col min="8456" max="8456" width="16.85546875" style="8" customWidth="1"/>
    <col min="8457" max="8457" width="16.42578125" style="8" customWidth="1"/>
    <col min="8458" max="8458" width="12.42578125" style="8" customWidth="1"/>
    <col min="8459" max="8459" width="12.7109375" style="8" customWidth="1"/>
    <col min="8460" max="8460" width="15" style="8" customWidth="1"/>
    <col min="8461" max="8461" width="12.7109375" style="8" customWidth="1"/>
    <col min="8462" max="8462" width="12.5703125" style="8" customWidth="1"/>
    <col min="8463" max="8463" width="14.28515625" style="8" customWidth="1"/>
    <col min="8464" max="8464" width="17.42578125" style="8" customWidth="1"/>
    <col min="8465" max="8465" width="12.42578125" style="8" customWidth="1"/>
    <col min="8466" max="8466" width="14.5703125" style="8" customWidth="1"/>
    <col min="8467" max="8467" width="12.85546875" style="8" customWidth="1"/>
    <col min="8468" max="8468" width="13.85546875" style="8" customWidth="1"/>
    <col min="8469" max="8469" width="15.28515625" style="8" customWidth="1"/>
    <col min="8470" max="8470" width="15.42578125" style="8" customWidth="1"/>
    <col min="8471" max="8472" width="14.7109375" style="8" customWidth="1"/>
    <col min="8473" max="8473" width="12.5703125" style="8" customWidth="1"/>
    <col min="8474" max="8474" width="13.28515625" style="8" customWidth="1"/>
    <col min="8475" max="8475" width="17.5703125" style="8" customWidth="1"/>
    <col min="8476" max="8476" width="17.7109375" style="8" customWidth="1"/>
    <col min="8477" max="8477" width="17.5703125" style="8" customWidth="1"/>
    <col min="8478" max="8704" width="9.140625" style="8"/>
    <col min="8705" max="8705" width="5.42578125" style="8" customWidth="1"/>
    <col min="8706" max="8706" width="23.85546875" style="8" customWidth="1"/>
    <col min="8707" max="8707" width="16.140625" style="8" customWidth="1"/>
    <col min="8708" max="8708" width="13.85546875" style="8" customWidth="1"/>
    <col min="8709" max="8710" width="11.7109375" style="8" customWidth="1"/>
    <col min="8711" max="8711" width="16" style="8" customWidth="1"/>
    <col min="8712" max="8712" width="16.85546875" style="8" customWidth="1"/>
    <col min="8713" max="8713" width="16.42578125" style="8" customWidth="1"/>
    <col min="8714" max="8714" width="12.42578125" style="8" customWidth="1"/>
    <col min="8715" max="8715" width="12.7109375" style="8" customWidth="1"/>
    <col min="8716" max="8716" width="15" style="8" customWidth="1"/>
    <col min="8717" max="8717" width="12.7109375" style="8" customWidth="1"/>
    <col min="8718" max="8718" width="12.5703125" style="8" customWidth="1"/>
    <col min="8719" max="8719" width="14.28515625" style="8" customWidth="1"/>
    <col min="8720" max="8720" width="17.42578125" style="8" customWidth="1"/>
    <col min="8721" max="8721" width="12.42578125" style="8" customWidth="1"/>
    <col min="8722" max="8722" width="14.5703125" style="8" customWidth="1"/>
    <col min="8723" max="8723" width="12.85546875" style="8" customWidth="1"/>
    <col min="8724" max="8724" width="13.85546875" style="8" customWidth="1"/>
    <col min="8725" max="8725" width="15.28515625" style="8" customWidth="1"/>
    <col min="8726" max="8726" width="15.42578125" style="8" customWidth="1"/>
    <col min="8727" max="8728" width="14.7109375" style="8" customWidth="1"/>
    <col min="8729" max="8729" width="12.5703125" style="8" customWidth="1"/>
    <col min="8730" max="8730" width="13.28515625" style="8" customWidth="1"/>
    <col min="8731" max="8731" width="17.5703125" style="8" customWidth="1"/>
    <col min="8732" max="8732" width="17.7109375" style="8" customWidth="1"/>
    <col min="8733" max="8733" width="17.5703125" style="8" customWidth="1"/>
    <col min="8734" max="8960" width="9.140625" style="8"/>
    <col min="8961" max="8961" width="5.42578125" style="8" customWidth="1"/>
    <col min="8962" max="8962" width="23.85546875" style="8" customWidth="1"/>
    <col min="8963" max="8963" width="16.140625" style="8" customWidth="1"/>
    <col min="8964" max="8964" width="13.85546875" style="8" customWidth="1"/>
    <col min="8965" max="8966" width="11.7109375" style="8" customWidth="1"/>
    <col min="8967" max="8967" width="16" style="8" customWidth="1"/>
    <col min="8968" max="8968" width="16.85546875" style="8" customWidth="1"/>
    <col min="8969" max="8969" width="16.42578125" style="8" customWidth="1"/>
    <col min="8970" max="8970" width="12.42578125" style="8" customWidth="1"/>
    <col min="8971" max="8971" width="12.7109375" style="8" customWidth="1"/>
    <col min="8972" max="8972" width="15" style="8" customWidth="1"/>
    <col min="8973" max="8973" width="12.7109375" style="8" customWidth="1"/>
    <col min="8974" max="8974" width="12.5703125" style="8" customWidth="1"/>
    <col min="8975" max="8975" width="14.28515625" style="8" customWidth="1"/>
    <col min="8976" max="8976" width="17.42578125" style="8" customWidth="1"/>
    <col min="8977" max="8977" width="12.42578125" style="8" customWidth="1"/>
    <col min="8978" max="8978" width="14.5703125" style="8" customWidth="1"/>
    <col min="8979" max="8979" width="12.85546875" style="8" customWidth="1"/>
    <col min="8980" max="8980" width="13.85546875" style="8" customWidth="1"/>
    <col min="8981" max="8981" width="15.28515625" style="8" customWidth="1"/>
    <col min="8982" max="8982" width="15.42578125" style="8" customWidth="1"/>
    <col min="8983" max="8984" width="14.7109375" style="8" customWidth="1"/>
    <col min="8985" max="8985" width="12.5703125" style="8" customWidth="1"/>
    <col min="8986" max="8986" width="13.28515625" style="8" customWidth="1"/>
    <col min="8987" max="8987" width="17.5703125" style="8" customWidth="1"/>
    <col min="8988" max="8988" width="17.7109375" style="8" customWidth="1"/>
    <col min="8989" max="8989" width="17.5703125" style="8" customWidth="1"/>
    <col min="8990" max="9216" width="9.140625" style="8"/>
    <col min="9217" max="9217" width="5.42578125" style="8" customWidth="1"/>
    <col min="9218" max="9218" width="23.85546875" style="8" customWidth="1"/>
    <col min="9219" max="9219" width="16.140625" style="8" customWidth="1"/>
    <col min="9220" max="9220" width="13.85546875" style="8" customWidth="1"/>
    <col min="9221" max="9222" width="11.7109375" style="8" customWidth="1"/>
    <col min="9223" max="9223" width="16" style="8" customWidth="1"/>
    <col min="9224" max="9224" width="16.85546875" style="8" customWidth="1"/>
    <col min="9225" max="9225" width="16.42578125" style="8" customWidth="1"/>
    <col min="9226" max="9226" width="12.42578125" style="8" customWidth="1"/>
    <col min="9227" max="9227" width="12.7109375" style="8" customWidth="1"/>
    <col min="9228" max="9228" width="15" style="8" customWidth="1"/>
    <col min="9229" max="9229" width="12.7109375" style="8" customWidth="1"/>
    <col min="9230" max="9230" width="12.5703125" style="8" customWidth="1"/>
    <col min="9231" max="9231" width="14.28515625" style="8" customWidth="1"/>
    <col min="9232" max="9232" width="17.42578125" style="8" customWidth="1"/>
    <col min="9233" max="9233" width="12.42578125" style="8" customWidth="1"/>
    <col min="9234" max="9234" width="14.5703125" style="8" customWidth="1"/>
    <col min="9235" max="9235" width="12.85546875" style="8" customWidth="1"/>
    <col min="9236" max="9236" width="13.85546875" style="8" customWidth="1"/>
    <col min="9237" max="9237" width="15.28515625" style="8" customWidth="1"/>
    <col min="9238" max="9238" width="15.42578125" style="8" customWidth="1"/>
    <col min="9239" max="9240" width="14.7109375" style="8" customWidth="1"/>
    <col min="9241" max="9241" width="12.5703125" style="8" customWidth="1"/>
    <col min="9242" max="9242" width="13.28515625" style="8" customWidth="1"/>
    <col min="9243" max="9243" width="17.5703125" style="8" customWidth="1"/>
    <col min="9244" max="9244" width="17.7109375" style="8" customWidth="1"/>
    <col min="9245" max="9245" width="17.5703125" style="8" customWidth="1"/>
    <col min="9246" max="9472" width="9.140625" style="8"/>
    <col min="9473" max="9473" width="5.42578125" style="8" customWidth="1"/>
    <col min="9474" max="9474" width="23.85546875" style="8" customWidth="1"/>
    <col min="9475" max="9475" width="16.140625" style="8" customWidth="1"/>
    <col min="9476" max="9476" width="13.85546875" style="8" customWidth="1"/>
    <col min="9477" max="9478" width="11.7109375" style="8" customWidth="1"/>
    <col min="9479" max="9479" width="16" style="8" customWidth="1"/>
    <col min="9480" max="9480" width="16.85546875" style="8" customWidth="1"/>
    <col min="9481" max="9481" width="16.42578125" style="8" customWidth="1"/>
    <col min="9482" max="9482" width="12.42578125" style="8" customWidth="1"/>
    <col min="9483" max="9483" width="12.7109375" style="8" customWidth="1"/>
    <col min="9484" max="9484" width="15" style="8" customWidth="1"/>
    <col min="9485" max="9485" width="12.7109375" style="8" customWidth="1"/>
    <col min="9486" max="9486" width="12.5703125" style="8" customWidth="1"/>
    <col min="9487" max="9487" width="14.28515625" style="8" customWidth="1"/>
    <col min="9488" max="9488" width="17.42578125" style="8" customWidth="1"/>
    <col min="9489" max="9489" width="12.42578125" style="8" customWidth="1"/>
    <col min="9490" max="9490" width="14.5703125" style="8" customWidth="1"/>
    <col min="9491" max="9491" width="12.85546875" style="8" customWidth="1"/>
    <col min="9492" max="9492" width="13.85546875" style="8" customWidth="1"/>
    <col min="9493" max="9493" width="15.28515625" style="8" customWidth="1"/>
    <col min="9494" max="9494" width="15.42578125" style="8" customWidth="1"/>
    <col min="9495" max="9496" width="14.7109375" style="8" customWidth="1"/>
    <col min="9497" max="9497" width="12.5703125" style="8" customWidth="1"/>
    <col min="9498" max="9498" width="13.28515625" style="8" customWidth="1"/>
    <col min="9499" max="9499" width="17.5703125" style="8" customWidth="1"/>
    <col min="9500" max="9500" width="17.7109375" style="8" customWidth="1"/>
    <col min="9501" max="9501" width="17.5703125" style="8" customWidth="1"/>
    <col min="9502" max="9728" width="9.140625" style="8"/>
    <col min="9729" max="9729" width="5.42578125" style="8" customWidth="1"/>
    <col min="9730" max="9730" width="23.85546875" style="8" customWidth="1"/>
    <col min="9731" max="9731" width="16.140625" style="8" customWidth="1"/>
    <col min="9732" max="9732" width="13.85546875" style="8" customWidth="1"/>
    <col min="9733" max="9734" width="11.7109375" style="8" customWidth="1"/>
    <col min="9735" max="9735" width="16" style="8" customWidth="1"/>
    <col min="9736" max="9736" width="16.85546875" style="8" customWidth="1"/>
    <col min="9737" max="9737" width="16.42578125" style="8" customWidth="1"/>
    <col min="9738" max="9738" width="12.42578125" style="8" customWidth="1"/>
    <col min="9739" max="9739" width="12.7109375" style="8" customWidth="1"/>
    <col min="9740" max="9740" width="15" style="8" customWidth="1"/>
    <col min="9741" max="9741" width="12.7109375" style="8" customWidth="1"/>
    <col min="9742" max="9742" width="12.5703125" style="8" customWidth="1"/>
    <col min="9743" max="9743" width="14.28515625" style="8" customWidth="1"/>
    <col min="9744" max="9744" width="17.42578125" style="8" customWidth="1"/>
    <col min="9745" max="9745" width="12.42578125" style="8" customWidth="1"/>
    <col min="9746" max="9746" width="14.5703125" style="8" customWidth="1"/>
    <col min="9747" max="9747" width="12.85546875" style="8" customWidth="1"/>
    <col min="9748" max="9748" width="13.85546875" style="8" customWidth="1"/>
    <col min="9749" max="9749" width="15.28515625" style="8" customWidth="1"/>
    <col min="9750" max="9750" width="15.42578125" style="8" customWidth="1"/>
    <col min="9751" max="9752" width="14.7109375" style="8" customWidth="1"/>
    <col min="9753" max="9753" width="12.5703125" style="8" customWidth="1"/>
    <col min="9754" max="9754" width="13.28515625" style="8" customWidth="1"/>
    <col min="9755" max="9755" width="17.5703125" style="8" customWidth="1"/>
    <col min="9756" max="9756" width="17.7109375" style="8" customWidth="1"/>
    <col min="9757" max="9757" width="17.5703125" style="8" customWidth="1"/>
    <col min="9758" max="9984" width="9.140625" style="8"/>
    <col min="9985" max="9985" width="5.42578125" style="8" customWidth="1"/>
    <col min="9986" max="9986" width="23.85546875" style="8" customWidth="1"/>
    <col min="9987" max="9987" width="16.140625" style="8" customWidth="1"/>
    <col min="9988" max="9988" width="13.85546875" style="8" customWidth="1"/>
    <col min="9989" max="9990" width="11.7109375" style="8" customWidth="1"/>
    <col min="9991" max="9991" width="16" style="8" customWidth="1"/>
    <col min="9992" max="9992" width="16.85546875" style="8" customWidth="1"/>
    <col min="9993" max="9993" width="16.42578125" style="8" customWidth="1"/>
    <col min="9994" max="9994" width="12.42578125" style="8" customWidth="1"/>
    <col min="9995" max="9995" width="12.7109375" style="8" customWidth="1"/>
    <col min="9996" max="9996" width="15" style="8" customWidth="1"/>
    <col min="9997" max="9997" width="12.7109375" style="8" customWidth="1"/>
    <col min="9998" max="9998" width="12.5703125" style="8" customWidth="1"/>
    <col min="9999" max="9999" width="14.28515625" style="8" customWidth="1"/>
    <col min="10000" max="10000" width="17.42578125" style="8" customWidth="1"/>
    <col min="10001" max="10001" width="12.42578125" style="8" customWidth="1"/>
    <col min="10002" max="10002" width="14.5703125" style="8" customWidth="1"/>
    <col min="10003" max="10003" width="12.85546875" style="8" customWidth="1"/>
    <col min="10004" max="10004" width="13.85546875" style="8" customWidth="1"/>
    <col min="10005" max="10005" width="15.28515625" style="8" customWidth="1"/>
    <col min="10006" max="10006" width="15.42578125" style="8" customWidth="1"/>
    <col min="10007" max="10008" width="14.7109375" style="8" customWidth="1"/>
    <col min="10009" max="10009" width="12.5703125" style="8" customWidth="1"/>
    <col min="10010" max="10010" width="13.28515625" style="8" customWidth="1"/>
    <col min="10011" max="10011" width="17.5703125" style="8" customWidth="1"/>
    <col min="10012" max="10012" width="17.7109375" style="8" customWidth="1"/>
    <col min="10013" max="10013" width="17.5703125" style="8" customWidth="1"/>
    <col min="10014" max="10240" width="9.140625" style="8"/>
    <col min="10241" max="10241" width="5.42578125" style="8" customWidth="1"/>
    <col min="10242" max="10242" width="23.85546875" style="8" customWidth="1"/>
    <col min="10243" max="10243" width="16.140625" style="8" customWidth="1"/>
    <col min="10244" max="10244" width="13.85546875" style="8" customWidth="1"/>
    <col min="10245" max="10246" width="11.7109375" style="8" customWidth="1"/>
    <col min="10247" max="10247" width="16" style="8" customWidth="1"/>
    <col min="10248" max="10248" width="16.85546875" style="8" customWidth="1"/>
    <col min="10249" max="10249" width="16.42578125" style="8" customWidth="1"/>
    <col min="10250" max="10250" width="12.42578125" style="8" customWidth="1"/>
    <col min="10251" max="10251" width="12.7109375" style="8" customWidth="1"/>
    <col min="10252" max="10252" width="15" style="8" customWidth="1"/>
    <col min="10253" max="10253" width="12.7109375" style="8" customWidth="1"/>
    <col min="10254" max="10254" width="12.5703125" style="8" customWidth="1"/>
    <col min="10255" max="10255" width="14.28515625" style="8" customWidth="1"/>
    <col min="10256" max="10256" width="17.42578125" style="8" customWidth="1"/>
    <col min="10257" max="10257" width="12.42578125" style="8" customWidth="1"/>
    <col min="10258" max="10258" width="14.5703125" style="8" customWidth="1"/>
    <col min="10259" max="10259" width="12.85546875" style="8" customWidth="1"/>
    <col min="10260" max="10260" width="13.85546875" style="8" customWidth="1"/>
    <col min="10261" max="10261" width="15.28515625" style="8" customWidth="1"/>
    <col min="10262" max="10262" width="15.42578125" style="8" customWidth="1"/>
    <col min="10263" max="10264" width="14.7109375" style="8" customWidth="1"/>
    <col min="10265" max="10265" width="12.5703125" style="8" customWidth="1"/>
    <col min="10266" max="10266" width="13.28515625" style="8" customWidth="1"/>
    <col min="10267" max="10267" width="17.5703125" style="8" customWidth="1"/>
    <col min="10268" max="10268" width="17.7109375" style="8" customWidth="1"/>
    <col min="10269" max="10269" width="17.5703125" style="8" customWidth="1"/>
    <col min="10270" max="10496" width="9.140625" style="8"/>
    <col min="10497" max="10497" width="5.42578125" style="8" customWidth="1"/>
    <col min="10498" max="10498" width="23.85546875" style="8" customWidth="1"/>
    <col min="10499" max="10499" width="16.140625" style="8" customWidth="1"/>
    <col min="10500" max="10500" width="13.85546875" style="8" customWidth="1"/>
    <col min="10501" max="10502" width="11.7109375" style="8" customWidth="1"/>
    <col min="10503" max="10503" width="16" style="8" customWidth="1"/>
    <col min="10504" max="10504" width="16.85546875" style="8" customWidth="1"/>
    <col min="10505" max="10505" width="16.42578125" style="8" customWidth="1"/>
    <col min="10506" max="10506" width="12.42578125" style="8" customWidth="1"/>
    <col min="10507" max="10507" width="12.7109375" style="8" customWidth="1"/>
    <col min="10508" max="10508" width="15" style="8" customWidth="1"/>
    <col min="10509" max="10509" width="12.7109375" style="8" customWidth="1"/>
    <col min="10510" max="10510" width="12.5703125" style="8" customWidth="1"/>
    <col min="10511" max="10511" width="14.28515625" style="8" customWidth="1"/>
    <col min="10512" max="10512" width="17.42578125" style="8" customWidth="1"/>
    <col min="10513" max="10513" width="12.42578125" style="8" customWidth="1"/>
    <col min="10514" max="10514" width="14.5703125" style="8" customWidth="1"/>
    <col min="10515" max="10515" width="12.85546875" style="8" customWidth="1"/>
    <col min="10516" max="10516" width="13.85546875" style="8" customWidth="1"/>
    <col min="10517" max="10517" width="15.28515625" style="8" customWidth="1"/>
    <col min="10518" max="10518" width="15.42578125" style="8" customWidth="1"/>
    <col min="10519" max="10520" width="14.7109375" style="8" customWidth="1"/>
    <col min="10521" max="10521" width="12.5703125" style="8" customWidth="1"/>
    <col min="10522" max="10522" width="13.28515625" style="8" customWidth="1"/>
    <col min="10523" max="10523" width="17.5703125" style="8" customWidth="1"/>
    <col min="10524" max="10524" width="17.7109375" style="8" customWidth="1"/>
    <col min="10525" max="10525" width="17.5703125" style="8" customWidth="1"/>
    <col min="10526" max="10752" width="9.140625" style="8"/>
    <col min="10753" max="10753" width="5.42578125" style="8" customWidth="1"/>
    <col min="10754" max="10754" width="23.85546875" style="8" customWidth="1"/>
    <col min="10755" max="10755" width="16.140625" style="8" customWidth="1"/>
    <col min="10756" max="10756" width="13.85546875" style="8" customWidth="1"/>
    <col min="10757" max="10758" width="11.7109375" style="8" customWidth="1"/>
    <col min="10759" max="10759" width="16" style="8" customWidth="1"/>
    <col min="10760" max="10760" width="16.85546875" style="8" customWidth="1"/>
    <col min="10761" max="10761" width="16.42578125" style="8" customWidth="1"/>
    <col min="10762" max="10762" width="12.42578125" style="8" customWidth="1"/>
    <col min="10763" max="10763" width="12.7109375" style="8" customWidth="1"/>
    <col min="10764" max="10764" width="15" style="8" customWidth="1"/>
    <col min="10765" max="10765" width="12.7109375" style="8" customWidth="1"/>
    <col min="10766" max="10766" width="12.5703125" style="8" customWidth="1"/>
    <col min="10767" max="10767" width="14.28515625" style="8" customWidth="1"/>
    <col min="10768" max="10768" width="17.42578125" style="8" customWidth="1"/>
    <col min="10769" max="10769" width="12.42578125" style="8" customWidth="1"/>
    <col min="10770" max="10770" width="14.5703125" style="8" customWidth="1"/>
    <col min="10771" max="10771" width="12.85546875" style="8" customWidth="1"/>
    <col min="10772" max="10772" width="13.85546875" style="8" customWidth="1"/>
    <col min="10773" max="10773" width="15.28515625" style="8" customWidth="1"/>
    <col min="10774" max="10774" width="15.42578125" style="8" customWidth="1"/>
    <col min="10775" max="10776" width="14.7109375" style="8" customWidth="1"/>
    <col min="10777" max="10777" width="12.5703125" style="8" customWidth="1"/>
    <col min="10778" max="10778" width="13.28515625" style="8" customWidth="1"/>
    <col min="10779" max="10779" width="17.5703125" style="8" customWidth="1"/>
    <col min="10780" max="10780" width="17.7109375" style="8" customWidth="1"/>
    <col min="10781" max="10781" width="17.5703125" style="8" customWidth="1"/>
    <col min="10782" max="11008" width="9.140625" style="8"/>
    <col min="11009" max="11009" width="5.42578125" style="8" customWidth="1"/>
    <col min="11010" max="11010" width="23.85546875" style="8" customWidth="1"/>
    <col min="11011" max="11011" width="16.140625" style="8" customWidth="1"/>
    <col min="11012" max="11012" width="13.85546875" style="8" customWidth="1"/>
    <col min="11013" max="11014" width="11.7109375" style="8" customWidth="1"/>
    <col min="11015" max="11015" width="16" style="8" customWidth="1"/>
    <col min="11016" max="11016" width="16.85546875" style="8" customWidth="1"/>
    <col min="11017" max="11017" width="16.42578125" style="8" customWidth="1"/>
    <col min="11018" max="11018" width="12.42578125" style="8" customWidth="1"/>
    <col min="11019" max="11019" width="12.7109375" style="8" customWidth="1"/>
    <col min="11020" max="11020" width="15" style="8" customWidth="1"/>
    <col min="11021" max="11021" width="12.7109375" style="8" customWidth="1"/>
    <col min="11022" max="11022" width="12.5703125" style="8" customWidth="1"/>
    <col min="11023" max="11023" width="14.28515625" style="8" customWidth="1"/>
    <col min="11024" max="11024" width="17.42578125" style="8" customWidth="1"/>
    <col min="11025" max="11025" width="12.42578125" style="8" customWidth="1"/>
    <col min="11026" max="11026" width="14.5703125" style="8" customWidth="1"/>
    <col min="11027" max="11027" width="12.85546875" style="8" customWidth="1"/>
    <col min="11028" max="11028" width="13.85546875" style="8" customWidth="1"/>
    <col min="11029" max="11029" width="15.28515625" style="8" customWidth="1"/>
    <col min="11030" max="11030" width="15.42578125" style="8" customWidth="1"/>
    <col min="11031" max="11032" width="14.7109375" style="8" customWidth="1"/>
    <col min="11033" max="11033" width="12.5703125" style="8" customWidth="1"/>
    <col min="11034" max="11034" width="13.28515625" style="8" customWidth="1"/>
    <col min="11035" max="11035" width="17.5703125" style="8" customWidth="1"/>
    <col min="11036" max="11036" width="17.7109375" style="8" customWidth="1"/>
    <col min="11037" max="11037" width="17.5703125" style="8" customWidth="1"/>
    <col min="11038" max="11264" width="9.140625" style="8"/>
    <col min="11265" max="11265" width="5.42578125" style="8" customWidth="1"/>
    <col min="11266" max="11266" width="23.85546875" style="8" customWidth="1"/>
    <col min="11267" max="11267" width="16.140625" style="8" customWidth="1"/>
    <col min="11268" max="11268" width="13.85546875" style="8" customWidth="1"/>
    <col min="11269" max="11270" width="11.7109375" style="8" customWidth="1"/>
    <col min="11271" max="11271" width="16" style="8" customWidth="1"/>
    <col min="11272" max="11272" width="16.85546875" style="8" customWidth="1"/>
    <col min="11273" max="11273" width="16.42578125" style="8" customWidth="1"/>
    <col min="11274" max="11274" width="12.42578125" style="8" customWidth="1"/>
    <col min="11275" max="11275" width="12.7109375" style="8" customWidth="1"/>
    <col min="11276" max="11276" width="15" style="8" customWidth="1"/>
    <col min="11277" max="11277" width="12.7109375" style="8" customWidth="1"/>
    <col min="11278" max="11278" width="12.5703125" style="8" customWidth="1"/>
    <col min="11279" max="11279" width="14.28515625" style="8" customWidth="1"/>
    <col min="11280" max="11280" width="17.42578125" style="8" customWidth="1"/>
    <col min="11281" max="11281" width="12.42578125" style="8" customWidth="1"/>
    <col min="11282" max="11282" width="14.5703125" style="8" customWidth="1"/>
    <col min="11283" max="11283" width="12.85546875" style="8" customWidth="1"/>
    <col min="11284" max="11284" width="13.85546875" style="8" customWidth="1"/>
    <col min="11285" max="11285" width="15.28515625" style="8" customWidth="1"/>
    <col min="11286" max="11286" width="15.42578125" style="8" customWidth="1"/>
    <col min="11287" max="11288" width="14.7109375" style="8" customWidth="1"/>
    <col min="11289" max="11289" width="12.5703125" style="8" customWidth="1"/>
    <col min="11290" max="11290" width="13.28515625" style="8" customWidth="1"/>
    <col min="11291" max="11291" width="17.5703125" style="8" customWidth="1"/>
    <col min="11292" max="11292" width="17.7109375" style="8" customWidth="1"/>
    <col min="11293" max="11293" width="17.5703125" style="8" customWidth="1"/>
    <col min="11294" max="11520" width="9.140625" style="8"/>
    <col min="11521" max="11521" width="5.42578125" style="8" customWidth="1"/>
    <col min="11522" max="11522" width="23.85546875" style="8" customWidth="1"/>
    <col min="11523" max="11523" width="16.140625" style="8" customWidth="1"/>
    <col min="11524" max="11524" width="13.85546875" style="8" customWidth="1"/>
    <col min="11525" max="11526" width="11.7109375" style="8" customWidth="1"/>
    <col min="11527" max="11527" width="16" style="8" customWidth="1"/>
    <col min="11528" max="11528" width="16.85546875" style="8" customWidth="1"/>
    <col min="11529" max="11529" width="16.42578125" style="8" customWidth="1"/>
    <col min="11530" max="11530" width="12.42578125" style="8" customWidth="1"/>
    <col min="11531" max="11531" width="12.7109375" style="8" customWidth="1"/>
    <col min="11532" max="11532" width="15" style="8" customWidth="1"/>
    <col min="11533" max="11533" width="12.7109375" style="8" customWidth="1"/>
    <col min="11534" max="11534" width="12.5703125" style="8" customWidth="1"/>
    <col min="11535" max="11535" width="14.28515625" style="8" customWidth="1"/>
    <col min="11536" max="11536" width="17.42578125" style="8" customWidth="1"/>
    <col min="11537" max="11537" width="12.42578125" style="8" customWidth="1"/>
    <col min="11538" max="11538" width="14.5703125" style="8" customWidth="1"/>
    <col min="11539" max="11539" width="12.85546875" style="8" customWidth="1"/>
    <col min="11540" max="11540" width="13.85546875" style="8" customWidth="1"/>
    <col min="11541" max="11541" width="15.28515625" style="8" customWidth="1"/>
    <col min="11542" max="11542" width="15.42578125" style="8" customWidth="1"/>
    <col min="11543" max="11544" width="14.7109375" style="8" customWidth="1"/>
    <col min="11545" max="11545" width="12.5703125" style="8" customWidth="1"/>
    <col min="11546" max="11546" width="13.28515625" style="8" customWidth="1"/>
    <col min="11547" max="11547" width="17.5703125" style="8" customWidth="1"/>
    <col min="11548" max="11548" width="17.7109375" style="8" customWidth="1"/>
    <col min="11549" max="11549" width="17.5703125" style="8" customWidth="1"/>
    <col min="11550" max="11776" width="9.140625" style="8"/>
    <col min="11777" max="11777" width="5.42578125" style="8" customWidth="1"/>
    <col min="11778" max="11778" width="23.85546875" style="8" customWidth="1"/>
    <col min="11779" max="11779" width="16.140625" style="8" customWidth="1"/>
    <col min="11780" max="11780" width="13.85546875" style="8" customWidth="1"/>
    <col min="11781" max="11782" width="11.7109375" style="8" customWidth="1"/>
    <col min="11783" max="11783" width="16" style="8" customWidth="1"/>
    <col min="11784" max="11784" width="16.85546875" style="8" customWidth="1"/>
    <col min="11785" max="11785" width="16.42578125" style="8" customWidth="1"/>
    <col min="11786" max="11786" width="12.42578125" style="8" customWidth="1"/>
    <col min="11787" max="11787" width="12.7109375" style="8" customWidth="1"/>
    <col min="11788" max="11788" width="15" style="8" customWidth="1"/>
    <col min="11789" max="11789" width="12.7109375" style="8" customWidth="1"/>
    <col min="11790" max="11790" width="12.5703125" style="8" customWidth="1"/>
    <col min="11791" max="11791" width="14.28515625" style="8" customWidth="1"/>
    <col min="11792" max="11792" width="17.42578125" style="8" customWidth="1"/>
    <col min="11793" max="11793" width="12.42578125" style="8" customWidth="1"/>
    <col min="11794" max="11794" width="14.5703125" style="8" customWidth="1"/>
    <col min="11795" max="11795" width="12.85546875" style="8" customWidth="1"/>
    <col min="11796" max="11796" width="13.85546875" style="8" customWidth="1"/>
    <col min="11797" max="11797" width="15.28515625" style="8" customWidth="1"/>
    <col min="11798" max="11798" width="15.42578125" style="8" customWidth="1"/>
    <col min="11799" max="11800" width="14.7109375" style="8" customWidth="1"/>
    <col min="11801" max="11801" width="12.5703125" style="8" customWidth="1"/>
    <col min="11802" max="11802" width="13.28515625" style="8" customWidth="1"/>
    <col min="11803" max="11803" width="17.5703125" style="8" customWidth="1"/>
    <col min="11804" max="11804" width="17.7109375" style="8" customWidth="1"/>
    <col min="11805" max="11805" width="17.5703125" style="8" customWidth="1"/>
    <col min="11806" max="12032" width="9.140625" style="8"/>
    <col min="12033" max="12033" width="5.42578125" style="8" customWidth="1"/>
    <col min="12034" max="12034" width="23.85546875" style="8" customWidth="1"/>
    <col min="12035" max="12035" width="16.140625" style="8" customWidth="1"/>
    <col min="12036" max="12036" width="13.85546875" style="8" customWidth="1"/>
    <col min="12037" max="12038" width="11.7109375" style="8" customWidth="1"/>
    <col min="12039" max="12039" width="16" style="8" customWidth="1"/>
    <col min="12040" max="12040" width="16.85546875" style="8" customWidth="1"/>
    <col min="12041" max="12041" width="16.42578125" style="8" customWidth="1"/>
    <col min="12042" max="12042" width="12.42578125" style="8" customWidth="1"/>
    <col min="12043" max="12043" width="12.7109375" style="8" customWidth="1"/>
    <col min="12044" max="12044" width="15" style="8" customWidth="1"/>
    <col min="12045" max="12045" width="12.7109375" style="8" customWidth="1"/>
    <col min="12046" max="12046" width="12.5703125" style="8" customWidth="1"/>
    <col min="12047" max="12047" width="14.28515625" style="8" customWidth="1"/>
    <col min="12048" max="12048" width="17.42578125" style="8" customWidth="1"/>
    <col min="12049" max="12049" width="12.42578125" style="8" customWidth="1"/>
    <col min="12050" max="12050" width="14.5703125" style="8" customWidth="1"/>
    <col min="12051" max="12051" width="12.85546875" style="8" customWidth="1"/>
    <col min="12052" max="12052" width="13.85546875" style="8" customWidth="1"/>
    <col min="12053" max="12053" width="15.28515625" style="8" customWidth="1"/>
    <col min="12054" max="12054" width="15.42578125" style="8" customWidth="1"/>
    <col min="12055" max="12056" width="14.7109375" style="8" customWidth="1"/>
    <col min="12057" max="12057" width="12.5703125" style="8" customWidth="1"/>
    <col min="12058" max="12058" width="13.28515625" style="8" customWidth="1"/>
    <col min="12059" max="12059" width="17.5703125" style="8" customWidth="1"/>
    <col min="12060" max="12060" width="17.7109375" style="8" customWidth="1"/>
    <col min="12061" max="12061" width="17.5703125" style="8" customWidth="1"/>
    <col min="12062" max="12288" width="9.140625" style="8"/>
    <col min="12289" max="12289" width="5.42578125" style="8" customWidth="1"/>
    <col min="12290" max="12290" width="23.85546875" style="8" customWidth="1"/>
    <col min="12291" max="12291" width="16.140625" style="8" customWidth="1"/>
    <col min="12292" max="12292" width="13.85546875" style="8" customWidth="1"/>
    <col min="12293" max="12294" width="11.7109375" style="8" customWidth="1"/>
    <col min="12295" max="12295" width="16" style="8" customWidth="1"/>
    <col min="12296" max="12296" width="16.85546875" style="8" customWidth="1"/>
    <col min="12297" max="12297" width="16.42578125" style="8" customWidth="1"/>
    <col min="12298" max="12298" width="12.42578125" style="8" customWidth="1"/>
    <col min="12299" max="12299" width="12.7109375" style="8" customWidth="1"/>
    <col min="12300" max="12300" width="15" style="8" customWidth="1"/>
    <col min="12301" max="12301" width="12.7109375" style="8" customWidth="1"/>
    <col min="12302" max="12302" width="12.5703125" style="8" customWidth="1"/>
    <col min="12303" max="12303" width="14.28515625" style="8" customWidth="1"/>
    <col min="12304" max="12304" width="17.42578125" style="8" customWidth="1"/>
    <col min="12305" max="12305" width="12.42578125" style="8" customWidth="1"/>
    <col min="12306" max="12306" width="14.5703125" style="8" customWidth="1"/>
    <col min="12307" max="12307" width="12.85546875" style="8" customWidth="1"/>
    <col min="12308" max="12308" width="13.85546875" style="8" customWidth="1"/>
    <col min="12309" max="12309" width="15.28515625" style="8" customWidth="1"/>
    <col min="12310" max="12310" width="15.42578125" style="8" customWidth="1"/>
    <col min="12311" max="12312" width="14.7109375" style="8" customWidth="1"/>
    <col min="12313" max="12313" width="12.5703125" style="8" customWidth="1"/>
    <col min="12314" max="12314" width="13.28515625" style="8" customWidth="1"/>
    <col min="12315" max="12315" width="17.5703125" style="8" customWidth="1"/>
    <col min="12316" max="12316" width="17.7109375" style="8" customWidth="1"/>
    <col min="12317" max="12317" width="17.5703125" style="8" customWidth="1"/>
    <col min="12318" max="12544" width="9.140625" style="8"/>
    <col min="12545" max="12545" width="5.42578125" style="8" customWidth="1"/>
    <col min="12546" max="12546" width="23.85546875" style="8" customWidth="1"/>
    <col min="12547" max="12547" width="16.140625" style="8" customWidth="1"/>
    <col min="12548" max="12548" width="13.85546875" style="8" customWidth="1"/>
    <col min="12549" max="12550" width="11.7109375" style="8" customWidth="1"/>
    <col min="12551" max="12551" width="16" style="8" customWidth="1"/>
    <col min="12552" max="12552" width="16.85546875" style="8" customWidth="1"/>
    <col min="12553" max="12553" width="16.42578125" style="8" customWidth="1"/>
    <col min="12554" max="12554" width="12.42578125" style="8" customWidth="1"/>
    <col min="12555" max="12555" width="12.7109375" style="8" customWidth="1"/>
    <col min="12556" max="12556" width="15" style="8" customWidth="1"/>
    <col min="12557" max="12557" width="12.7109375" style="8" customWidth="1"/>
    <col min="12558" max="12558" width="12.5703125" style="8" customWidth="1"/>
    <col min="12559" max="12559" width="14.28515625" style="8" customWidth="1"/>
    <col min="12560" max="12560" width="17.42578125" style="8" customWidth="1"/>
    <col min="12561" max="12561" width="12.42578125" style="8" customWidth="1"/>
    <col min="12562" max="12562" width="14.5703125" style="8" customWidth="1"/>
    <col min="12563" max="12563" width="12.85546875" style="8" customWidth="1"/>
    <col min="12564" max="12564" width="13.85546875" style="8" customWidth="1"/>
    <col min="12565" max="12565" width="15.28515625" style="8" customWidth="1"/>
    <col min="12566" max="12566" width="15.42578125" style="8" customWidth="1"/>
    <col min="12567" max="12568" width="14.7109375" style="8" customWidth="1"/>
    <col min="12569" max="12569" width="12.5703125" style="8" customWidth="1"/>
    <col min="12570" max="12570" width="13.28515625" style="8" customWidth="1"/>
    <col min="12571" max="12571" width="17.5703125" style="8" customWidth="1"/>
    <col min="12572" max="12572" width="17.7109375" style="8" customWidth="1"/>
    <col min="12573" max="12573" width="17.5703125" style="8" customWidth="1"/>
    <col min="12574" max="12800" width="9.140625" style="8"/>
    <col min="12801" max="12801" width="5.42578125" style="8" customWidth="1"/>
    <col min="12802" max="12802" width="23.85546875" style="8" customWidth="1"/>
    <col min="12803" max="12803" width="16.140625" style="8" customWidth="1"/>
    <col min="12804" max="12804" width="13.85546875" style="8" customWidth="1"/>
    <col min="12805" max="12806" width="11.7109375" style="8" customWidth="1"/>
    <col min="12807" max="12807" width="16" style="8" customWidth="1"/>
    <col min="12808" max="12808" width="16.85546875" style="8" customWidth="1"/>
    <col min="12809" max="12809" width="16.42578125" style="8" customWidth="1"/>
    <col min="12810" max="12810" width="12.42578125" style="8" customWidth="1"/>
    <col min="12811" max="12811" width="12.7109375" style="8" customWidth="1"/>
    <col min="12812" max="12812" width="15" style="8" customWidth="1"/>
    <col min="12813" max="12813" width="12.7109375" style="8" customWidth="1"/>
    <col min="12814" max="12814" width="12.5703125" style="8" customWidth="1"/>
    <col min="12815" max="12815" width="14.28515625" style="8" customWidth="1"/>
    <col min="12816" max="12816" width="17.42578125" style="8" customWidth="1"/>
    <col min="12817" max="12817" width="12.42578125" style="8" customWidth="1"/>
    <col min="12818" max="12818" width="14.5703125" style="8" customWidth="1"/>
    <col min="12819" max="12819" width="12.85546875" style="8" customWidth="1"/>
    <col min="12820" max="12820" width="13.85546875" style="8" customWidth="1"/>
    <col min="12821" max="12821" width="15.28515625" style="8" customWidth="1"/>
    <col min="12822" max="12822" width="15.42578125" style="8" customWidth="1"/>
    <col min="12823" max="12824" width="14.7109375" style="8" customWidth="1"/>
    <col min="12825" max="12825" width="12.5703125" style="8" customWidth="1"/>
    <col min="12826" max="12826" width="13.28515625" style="8" customWidth="1"/>
    <col min="12827" max="12827" width="17.5703125" style="8" customWidth="1"/>
    <col min="12828" max="12828" width="17.7109375" style="8" customWidth="1"/>
    <col min="12829" max="12829" width="17.5703125" style="8" customWidth="1"/>
    <col min="12830" max="13056" width="9.140625" style="8"/>
    <col min="13057" max="13057" width="5.42578125" style="8" customWidth="1"/>
    <col min="13058" max="13058" width="23.85546875" style="8" customWidth="1"/>
    <col min="13059" max="13059" width="16.140625" style="8" customWidth="1"/>
    <col min="13060" max="13060" width="13.85546875" style="8" customWidth="1"/>
    <col min="13061" max="13062" width="11.7109375" style="8" customWidth="1"/>
    <col min="13063" max="13063" width="16" style="8" customWidth="1"/>
    <col min="13064" max="13064" width="16.85546875" style="8" customWidth="1"/>
    <col min="13065" max="13065" width="16.42578125" style="8" customWidth="1"/>
    <col min="13066" max="13066" width="12.42578125" style="8" customWidth="1"/>
    <col min="13067" max="13067" width="12.7109375" style="8" customWidth="1"/>
    <col min="13068" max="13068" width="15" style="8" customWidth="1"/>
    <col min="13069" max="13069" width="12.7109375" style="8" customWidth="1"/>
    <col min="13070" max="13070" width="12.5703125" style="8" customWidth="1"/>
    <col min="13071" max="13071" width="14.28515625" style="8" customWidth="1"/>
    <col min="13072" max="13072" width="17.42578125" style="8" customWidth="1"/>
    <col min="13073" max="13073" width="12.42578125" style="8" customWidth="1"/>
    <col min="13074" max="13074" width="14.5703125" style="8" customWidth="1"/>
    <col min="13075" max="13075" width="12.85546875" style="8" customWidth="1"/>
    <col min="13076" max="13076" width="13.85546875" style="8" customWidth="1"/>
    <col min="13077" max="13077" width="15.28515625" style="8" customWidth="1"/>
    <col min="13078" max="13078" width="15.42578125" style="8" customWidth="1"/>
    <col min="13079" max="13080" width="14.7109375" style="8" customWidth="1"/>
    <col min="13081" max="13081" width="12.5703125" style="8" customWidth="1"/>
    <col min="13082" max="13082" width="13.28515625" style="8" customWidth="1"/>
    <col min="13083" max="13083" width="17.5703125" style="8" customWidth="1"/>
    <col min="13084" max="13084" width="17.7109375" style="8" customWidth="1"/>
    <col min="13085" max="13085" width="17.5703125" style="8" customWidth="1"/>
    <col min="13086" max="13312" width="9.140625" style="8"/>
    <col min="13313" max="13313" width="5.42578125" style="8" customWidth="1"/>
    <col min="13314" max="13314" width="23.85546875" style="8" customWidth="1"/>
    <col min="13315" max="13315" width="16.140625" style="8" customWidth="1"/>
    <col min="13316" max="13316" width="13.85546875" style="8" customWidth="1"/>
    <col min="13317" max="13318" width="11.7109375" style="8" customWidth="1"/>
    <col min="13319" max="13319" width="16" style="8" customWidth="1"/>
    <col min="13320" max="13320" width="16.85546875" style="8" customWidth="1"/>
    <col min="13321" max="13321" width="16.42578125" style="8" customWidth="1"/>
    <col min="13322" max="13322" width="12.42578125" style="8" customWidth="1"/>
    <col min="13323" max="13323" width="12.7109375" style="8" customWidth="1"/>
    <col min="13324" max="13324" width="15" style="8" customWidth="1"/>
    <col min="13325" max="13325" width="12.7109375" style="8" customWidth="1"/>
    <col min="13326" max="13326" width="12.5703125" style="8" customWidth="1"/>
    <col min="13327" max="13327" width="14.28515625" style="8" customWidth="1"/>
    <col min="13328" max="13328" width="17.42578125" style="8" customWidth="1"/>
    <col min="13329" max="13329" width="12.42578125" style="8" customWidth="1"/>
    <col min="13330" max="13330" width="14.5703125" style="8" customWidth="1"/>
    <col min="13331" max="13331" width="12.85546875" style="8" customWidth="1"/>
    <col min="13332" max="13332" width="13.85546875" style="8" customWidth="1"/>
    <col min="13333" max="13333" width="15.28515625" style="8" customWidth="1"/>
    <col min="13334" max="13334" width="15.42578125" style="8" customWidth="1"/>
    <col min="13335" max="13336" width="14.7109375" style="8" customWidth="1"/>
    <col min="13337" max="13337" width="12.5703125" style="8" customWidth="1"/>
    <col min="13338" max="13338" width="13.28515625" style="8" customWidth="1"/>
    <col min="13339" max="13339" width="17.5703125" style="8" customWidth="1"/>
    <col min="13340" max="13340" width="17.7109375" style="8" customWidth="1"/>
    <col min="13341" max="13341" width="17.5703125" style="8" customWidth="1"/>
    <col min="13342" max="13568" width="9.140625" style="8"/>
    <col min="13569" max="13569" width="5.42578125" style="8" customWidth="1"/>
    <col min="13570" max="13570" width="23.85546875" style="8" customWidth="1"/>
    <col min="13571" max="13571" width="16.140625" style="8" customWidth="1"/>
    <col min="13572" max="13572" width="13.85546875" style="8" customWidth="1"/>
    <col min="13573" max="13574" width="11.7109375" style="8" customWidth="1"/>
    <col min="13575" max="13575" width="16" style="8" customWidth="1"/>
    <col min="13576" max="13576" width="16.85546875" style="8" customWidth="1"/>
    <col min="13577" max="13577" width="16.42578125" style="8" customWidth="1"/>
    <col min="13578" max="13578" width="12.42578125" style="8" customWidth="1"/>
    <col min="13579" max="13579" width="12.7109375" style="8" customWidth="1"/>
    <col min="13580" max="13580" width="15" style="8" customWidth="1"/>
    <col min="13581" max="13581" width="12.7109375" style="8" customWidth="1"/>
    <col min="13582" max="13582" width="12.5703125" style="8" customWidth="1"/>
    <col min="13583" max="13583" width="14.28515625" style="8" customWidth="1"/>
    <col min="13584" max="13584" width="17.42578125" style="8" customWidth="1"/>
    <col min="13585" max="13585" width="12.42578125" style="8" customWidth="1"/>
    <col min="13586" max="13586" width="14.5703125" style="8" customWidth="1"/>
    <col min="13587" max="13587" width="12.85546875" style="8" customWidth="1"/>
    <col min="13588" max="13588" width="13.85546875" style="8" customWidth="1"/>
    <col min="13589" max="13589" width="15.28515625" style="8" customWidth="1"/>
    <col min="13590" max="13590" width="15.42578125" style="8" customWidth="1"/>
    <col min="13591" max="13592" width="14.7109375" style="8" customWidth="1"/>
    <col min="13593" max="13593" width="12.5703125" style="8" customWidth="1"/>
    <col min="13594" max="13594" width="13.28515625" style="8" customWidth="1"/>
    <col min="13595" max="13595" width="17.5703125" style="8" customWidth="1"/>
    <col min="13596" max="13596" width="17.7109375" style="8" customWidth="1"/>
    <col min="13597" max="13597" width="17.5703125" style="8" customWidth="1"/>
    <col min="13598" max="13824" width="9.140625" style="8"/>
    <col min="13825" max="13825" width="5.42578125" style="8" customWidth="1"/>
    <col min="13826" max="13826" width="23.85546875" style="8" customWidth="1"/>
    <col min="13827" max="13827" width="16.140625" style="8" customWidth="1"/>
    <col min="13828" max="13828" width="13.85546875" style="8" customWidth="1"/>
    <col min="13829" max="13830" width="11.7109375" style="8" customWidth="1"/>
    <col min="13831" max="13831" width="16" style="8" customWidth="1"/>
    <col min="13832" max="13832" width="16.85546875" style="8" customWidth="1"/>
    <col min="13833" max="13833" width="16.42578125" style="8" customWidth="1"/>
    <col min="13834" max="13834" width="12.42578125" style="8" customWidth="1"/>
    <col min="13835" max="13835" width="12.7109375" style="8" customWidth="1"/>
    <col min="13836" max="13836" width="15" style="8" customWidth="1"/>
    <col min="13837" max="13837" width="12.7109375" style="8" customWidth="1"/>
    <col min="13838" max="13838" width="12.5703125" style="8" customWidth="1"/>
    <col min="13839" max="13839" width="14.28515625" style="8" customWidth="1"/>
    <col min="13840" max="13840" width="17.42578125" style="8" customWidth="1"/>
    <col min="13841" max="13841" width="12.42578125" style="8" customWidth="1"/>
    <col min="13842" max="13842" width="14.5703125" style="8" customWidth="1"/>
    <col min="13843" max="13843" width="12.85546875" style="8" customWidth="1"/>
    <col min="13844" max="13844" width="13.85546875" style="8" customWidth="1"/>
    <col min="13845" max="13845" width="15.28515625" style="8" customWidth="1"/>
    <col min="13846" max="13846" width="15.42578125" style="8" customWidth="1"/>
    <col min="13847" max="13848" width="14.7109375" style="8" customWidth="1"/>
    <col min="13849" max="13849" width="12.5703125" style="8" customWidth="1"/>
    <col min="13850" max="13850" width="13.28515625" style="8" customWidth="1"/>
    <col min="13851" max="13851" width="17.5703125" style="8" customWidth="1"/>
    <col min="13852" max="13852" width="17.7109375" style="8" customWidth="1"/>
    <col min="13853" max="13853" width="17.5703125" style="8" customWidth="1"/>
    <col min="13854" max="14080" width="9.140625" style="8"/>
    <col min="14081" max="14081" width="5.42578125" style="8" customWidth="1"/>
    <col min="14082" max="14082" width="23.85546875" style="8" customWidth="1"/>
    <col min="14083" max="14083" width="16.140625" style="8" customWidth="1"/>
    <col min="14084" max="14084" width="13.85546875" style="8" customWidth="1"/>
    <col min="14085" max="14086" width="11.7109375" style="8" customWidth="1"/>
    <col min="14087" max="14087" width="16" style="8" customWidth="1"/>
    <col min="14088" max="14088" width="16.85546875" style="8" customWidth="1"/>
    <col min="14089" max="14089" width="16.42578125" style="8" customWidth="1"/>
    <col min="14090" max="14090" width="12.42578125" style="8" customWidth="1"/>
    <col min="14091" max="14091" width="12.7109375" style="8" customWidth="1"/>
    <col min="14092" max="14092" width="15" style="8" customWidth="1"/>
    <col min="14093" max="14093" width="12.7109375" style="8" customWidth="1"/>
    <col min="14094" max="14094" width="12.5703125" style="8" customWidth="1"/>
    <col min="14095" max="14095" width="14.28515625" style="8" customWidth="1"/>
    <col min="14096" max="14096" width="17.42578125" style="8" customWidth="1"/>
    <col min="14097" max="14097" width="12.42578125" style="8" customWidth="1"/>
    <col min="14098" max="14098" width="14.5703125" style="8" customWidth="1"/>
    <col min="14099" max="14099" width="12.85546875" style="8" customWidth="1"/>
    <col min="14100" max="14100" width="13.85546875" style="8" customWidth="1"/>
    <col min="14101" max="14101" width="15.28515625" style="8" customWidth="1"/>
    <col min="14102" max="14102" width="15.42578125" style="8" customWidth="1"/>
    <col min="14103" max="14104" width="14.7109375" style="8" customWidth="1"/>
    <col min="14105" max="14105" width="12.5703125" style="8" customWidth="1"/>
    <col min="14106" max="14106" width="13.28515625" style="8" customWidth="1"/>
    <col min="14107" max="14107" width="17.5703125" style="8" customWidth="1"/>
    <col min="14108" max="14108" width="17.7109375" style="8" customWidth="1"/>
    <col min="14109" max="14109" width="17.5703125" style="8" customWidth="1"/>
    <col min="14110" max="14336" width="9.140625" style="8"/>
    <col min="14337" max="14337" width="5.42578125" style="8" customWidth="1"/>
    <col min="14338" max="14338" width="23.85546875" style="8" customWidth="1"/>
    <col min="14339" max="14339" width="16.140625" style="8" customWidth="1"/>
    <col min="14340" max="14340" width="13.85546875" style="8" customWidth="1"/>
    <col min="14341" max="14342" width="11.7109375" style="8" customWidth="1"/>
    <col min="14343" max="14343" width="16" style="8" customWidth="1"/>
    <col min="14344" max="14344" width="16.85546875" style="8" customWidth="1"/>
    <col min="14345" max="14345" width="16.42578125" style="8" customWidth="1"/>
    <col min="14346" max="14346" width="12.42578125" style="8" customWidth="1"/>
    <col min="14347" max="14347" width="12.7109375" style="8" customWidth="1"/>
    <col min="14348" max="14348" width="15" style="8" customWidth="1"/>
    <col min="14349" max="14349" width="12.7109375" style="8" customWidth="1"/>
    <col min="14350" max="14350" width="12.5703125" style="8" customWidth="1"/>
    <col min="14351" max="14351" width="14.28515625" style="8" customWidth="1"/>
    <col min="14352" max="14352" width="17.42578125" style="8" customWidth="1"/>
    <col min="14353" max="14353" width="12.42578125" style="8" customWidth="1"/>
    <col min="14354" max="14354" width="14.5703125" style="8" customWidth="1"/>
    <col min="14355" max="14355" width="12.85546875" style="8" customWidth="1"/>
    <col min="14356" max="14356" width="13.85546875" style="8" customWidth="1"/>
    <col min="14357" max="14357" width="15.28515625" style="8" customWidth="1"/>
    <col min="14358" max="14358" width="15.42578125" style="8" customWidth="1"/>
    <col min="14359" max="14360" width="14.7109375" style="8" customWidth="1"/>
    <col min="14361" max="14361" width="12.5703125" style="8" customWidth="1"/>
    <col min="14362" max="14362" width="13.28515625" style="8" customWidth="1"/>
    <col min="14363" max="14363" width="17.5703125" style="8" customWidth="1"/>
    <col min="14364" max="14364" width="17.7109375" style="8" customWidth="1"/>
    <col min="14365" max="14365" width="17.5703125" style="8" customWidth="1"/>
    <col min="14366" max="14592" width="9.140625" style="8"/>
    <col min="14593" max="14593" width="5.42578125" style="8" customWidth="1"/>
    <col min="14594" max="14594" width="23.85546875" style="8" customWidth="1"/>
    <col min="14595" max="14595" width="16.140625" style="8" customWidth="1"/>
    <col min="14596" max="14596" width="13.85546875" style="8" customWidth="1"/>
    <col min="14597" max="14598" width="11.7109375" style="8" customWidth="1"/>
    <col min="14599" max="14599" width="16" style="8" customWidth="1"/>
    <col min="14600" max="14600" width="16.85546875" style="8" customWidth="1"/>
    <col min="14601" max="14601" width="16.42578125" style="8" customWidth="1"/>
    <col min="14602" max="14602" width="12.42578125" style="8" customWidth="1"/>
    <col min="14603" max="14603" width="12.7109375" style="8" customWidth="1"/>
    <col min="14604" max="14604" width="15" style="8" customWidth="1"/>
    <col min="14605" max="14605" width="12.7109375" style="8" customWidth="1"/>
    <col min="14606" max="14606" width="12.5703125" style="8" customWidth="1"/>
    <col min="14607" max="14607" width="14.28515625" style="8" customWidth="1"/>
    <col min="14608" max="14608" width="17.42578125" style="8" customWidth="1"/>
    <col min="14609" max="14609" width="12.42578125" style="8" customWidth="1"/>
    <col min="14610" max="14610" width="14.5703125" style="8" customWidth="1"/>
    <col min="14611" max="14611" width="12.85546875" style="8" customWidth="1"/>
    <col min="14612" max="14612" width="13.85546875" style="8" customWidth="1"/>
    <col min="14613" max="14613" width="15.28515625" style="8" customWidth="1"/>
    <col min="14614" max="14614" width="15.42578125" style="8" customWidth="1"/>
    <col min="14615" max="14616" width="14.7109375" style="8" customWidth="1"/>
    <col min="14617" max="14617" width="12.5703125" style="8" customWidth="1"/>
    <col min="14618" max="14618" width="13.28515625" style="8" customWidth="1"/>
    <col min="14619" max="14619" width="17.5703125" style="8" customWidth="1"/>
    <col min="14620" max="14620" width="17.7109375" style="8" customWidth="1"/>
    <col min="14621" max="14621" width="17.5703125" style="8" customWidth="1"/>
    <col min="14622" max="14848" width="9.140625" style="8"/>
    <col min="14849" max="14849" width="5.42578125" style="8" customWidth="1"/>
    <col min="14850" max="14850" width="23.85546875" style="8" customWidth="1"/>
    <col min="14851" max="14851" width="16.140625" style="8" customWidth="1"/>
    <col min="14852" max="14852" width="13.85546875" style="8" customWidth="1"/>
    <col min="14853" max="14854" width="11.7109375" style="8" customWidth="1"/>
    <col min="14855" max="14855" width="16" style="8" customWidth="1"/>
    <col min="14856" max="14856" width="16.85546875" style="8" customWidth="1"/>
    <col min="14857" max="14857" width="16.42578125" style="8" customWidth="1"/>
    <col min="14858" max="14858" width="12.42578125" style="8" customWidth="1"/>
    <col min="14859" max="14859" width="12.7109375" style="8" customWidth="1"/>
    <col min="14860" max="14860" width="15" style="8" customWidth="1"/>
    <col min="14861" max="14861" width="12.7109375" style="8" customWidth="1"/>
    <col min="14862" max="14862" width="12.5703125" style="8" customWidth="1"/>
    <col min="14863" max="14863" width="14.28515625" style="8" customWidth="1"/>
    <col min="14864" max="14864" width="17.42578125" style="8" customWidth="1"/>
    <col min="14865" max="14865" width="12.42578125" style="8" customWidth="1"/>
    <col min="14866" max="14866" width="14.5703125" style="8" customWidth="1"/>
    <col min="14867" max="14867" width="12.85546875" style="8" customWidth="1"/>
    <col min="14868" max="14868" width="13.85546875" style="8" customWidth="1"/>
    <col min="14869" max="14869" width="15.28515625" style="8" customWidth="1"/>
    <col min="14870" max="14870" width="15.42578125" style="8" customWidth="1"/>
    <col min="14871" max="14872" width="14.7109375" style="8" customWidth="1"/>
    <col min="14873" max="14873" width="12.5703125" style="8" customWidth="1"/>
    <col min="14874" max="14874" width="13.28515625" style="8" customWidth="1"/>
    <col min="14875" max="14875" width="17.5703125" style="8" customWidth="1"/>
    <col min="14876" max="14876" width="17.7109375" style="8" customWidth="1"/>
    <col min="14877" max="14877" width="17.5703125" style="8" customWidth="1"/>
    <col min="14878" max="15104" width="9.140625" style="8"/>
    <col min="15105" max="15105" width="5.42578125" style="8" customWidth="1"/>
    <col min="15106" max="15106" width="23.85546875" style="8" customWidth="1"/>
    <col min="15107" max="15107" width="16.140625" style="8" customWidth="1"/>
    <col min="15108" max="15108" width="13.85546875" style="8" customWidth="1"/>
    <col min="15109" max="15110" width="11.7109375" style="8" customWidth="1"/>
    <col min="15111" max="15111" width="16" style="8" customWidth="1"/>
    <col min="15112" max="15112" width="16.85546875" style="8" customWidth="1"/>
    <col min="15113" max="15113" width="16.42578125" style="8" customWidth="1"/>
    <col min="15114" max="15114" width="12.42578125" style="8" customWidth="1"/>
    <col min="15115" max="15115" width="12.7109375" style="8" customWidth="1"/>
    <col min="15116" max="15116" width="15" style="8" customWidth="1"/>
    <col min="15117" max="15117" width="12.7109375" style="8" customWidth="1"/>
    <col min="15118" max="15118" width="12.5703125" style="8" customWidth="1"/>
    <col min="15119" max="15119" width="14.28515625" style="8" customWidth="1"/>
    <col min="15120" max="15120" width="17.42578125" style="8" customWidth="1"/>
    <col min="15121" max="15121" width="12.42578125" style="8" customWidth="1"/>
    <col min="15122" max="15122" width="14.5703125" style="8" customWidth="1"/>
    <col min="15123" max="15123" width="12.85546875" style="8" customWidth="1"/>
    <col min="15124" max="15124" width="13.85546875" style="8" customWidth="1"/>
    <col min="15125" max="15125" width="15.28515625" style="8" customWidth="1"/>
    <col min="15126" max="15126" width="15.42578125" style="8" customWidth="1"/>
    <col min="15127" max="15128" width="14.7109375" style="8" customWidth="1"/>
    <col min="15129" max="15129" width="12.5703125" style="8" customWidth="1"/>
    <col min="15130" max="15130" width="13.28515625" style="8" customWidth="1"/>
    <col min="15131" max="15131" width="17.5703125" style="8" customWidth="1"/>
    <col min="15132" max="15132" width="17.7109375" style="8" customWidth="1"/>
    <col min="15133" max="15133" width="17.5703125" style="8" customWidth="1"/>
    <col min="15134" max="15360" width="9.140625" style="8"/>
    <col min="15361" max="15361" width="5.42578125" style="8" customWidth="1"/>
    <col min="15362" max="15362" width="23.85546875" style="8" customWidth="1"/>
    <col min="15363" max="15363" width="16.140625" style="8" customWidth="1"/>
    <col min="15364" max="15364" width="13.85546875" style="8" customWidth="1"/>
    <col min="15365" max="15366" width="11.7109375" style="8" customWidth="1"/>
    <col min="15367" max="15367" width="16" style="8" customWidth="1"/>
    <col min="15368" max="15368" width="16.85546875" style="8" customWidth="1"/>
    <col min="15369" max="15369" width="16.42578125" style="8" customWidth="1"/>
    <col min="15370" max="15370" width="12.42578125" style="8" customWidth="1"/>
    <col min="15371" max="15371" width="12.7109375" style="8" customWidth="1"/>
    <col min="15372" max="15372" width="15" style="8" customWidth="1"/>
    <col min="15373" max="15373" width="12.7109375" style="8" customWidth="1"/>
    <col min="15374" max="15374" width="12.5703125" style="8" customWidth="1"/>
    <col min="15375" max="15375" width="14.28515625" style="8" customWidth="1"/>
    <col min="15376" max="15376" width="17.42578125" style="8" customWidth="1"/>
    <col min="15377" max="15377" width="12.42578125" style="8" customWidth="1"/>
    <col min="15378" max="15378" width="14.5703125" style="8" customWidth="1"/>
    <col min="15379" max="15379" width="12.85546875" style="8" customWidth="1"/>
    <col min="15380" max="15380" width="13.85546875" style="8" customWidth="1"/>
    <col min="15381" max="15381" width="15.28515625" style="8" customWidth="1"/>
    <col min="15382" max="15382" width="15.42578125" style="8" customWidth="1"/>
    <col min="15383" max="15384" width="14.7109375" style="8" customWidth="1"/>
    <col min="15385" max="15385" width="12.5703125" style="8" customWidth="1"/>
    <col min="15386" max="15386" width="13.28515625" style="8" customWidth="1"/>
    <col min="15387" max="15387" width="17.5703125" style="8" customWidth="1"/>
    <col min="15388" max="15388" width="17.7109375" style="8" customWidth="1"/>
    <col min="15389" max="15389" width="17.5703125" style="8" customWidth="1"/>
    <col min="15390" max="15616" width="9.140625" style="8"/>
    <col min="15617" max="15617" width="5.42578125" style="8" customWidth="1"/>
    <col min="15618" max="15618" width="23.85546875" style="8" customWidth="1"/>
    <col min="15619" max="15619" width="16.140625" style="8" customWidth="1"/>
    <col min="15620" max="15620" width="13.85546875" style="8" customWidth="1"/>
    <col min="15621" max="15622" width="11.7109375" style="8" customWidth="1"/>
    <col min="15623" max="15623" width="16" style="8" customWidth="1"/>
    <col min="15624" max="15624" width="16.85546875" style="8" customWidth="1"/>
    <col min="15625" max="15625" width="16.42578125" style="8" customWidth="1"/>
    <col min="15626" max="15626" width="12.42578125" style="8" customWidth="1"/>
    <col min="15627" max="15627" width="12.7109375" style="8" customWidth="1"/>
    <col min="15628" max="15628" width="15" style="8" customWidth="1"/>
    <col min="15629" max="15629" width="12.7109375" style="8" customWidth="1"/>
    <col min="15630" max="15630" width="12.5703125" style="8" customWidth="1"/>
    <col min="15631" max="15631" width="14.28515625" style="8" customWidth="1"/>
    <col min="15632" max="15632" width="17.42578125" style="8" customWidth="1"/>
    <col min="15633" max="15633" width="12.42578125" style="8" customWidth="1"/>
    <col min="15634" max="15634" width="14.5703125" style="8" customWidth="1"/>
    <col min="15635" max="15635" width="12.85546875" style="8" customWidth="1"/>
    <col min="15636" max="15636" width="13.85546875" style="8" customWidth="1"/>
    <col min="15637" max="15637" width="15.28515625" style="8" customWidth="1"/>
    <col min="15638" max="15638" width="15.42578125" style="8" customWidth="1"/>
    <col min="15639" max="15640" width="14.7109375" style="8" customWidth="1"/>
    <col min="15641" max="15641" width="12.5703125" style="8" customWidth="1"/>
    <col min="15642" max="15642" width="13.28515625" style="8" customWidth="1"/>
    <col min="15643" max="15643" width="17.5703125" style="8" customWidth="1"/>
    <col min="15644" max="15644" width="17.7109375" style="8" customWidth="1"/>
    <col min="15645" max="15645" width="17.5703125" style="8" customWidth="1"/>
    <col min="15646" max="15872" width="9.140625" style="8"/>
    <col min="15873" max="15873" width="5.42578125" style="8" customWidth="1"/>
    <col min="15874" max="15874" width="23.85546875" style="8" customWidth="1"/>
    <col min="15875" max="15875" width="16.140625" style="8" customWidth="1"/>
    <col min="15876" max="15876" width="13.85546875" style="8" customWidth="1"/>
    <col min="15877" max="15878" width="11.7109375" style="8" customWidth="1"/>
    <col min="15879" max="15879" width="16" style="8" customWidth="1"/>
    <col min="15880" max="15880" width="16.85546875" style="8" customWidth="1"/>
    <col min="15881" max="15881" width="16.42578125" style="8" customWidth="1"/>
    <col min="15882" max="15882" width="12.42578125" style="8" customWidth="1"/>
    <col min="15883" max="15883" width="12.7109375" style="8" customWidth="1"/>
    <col min="15884" max="15884" width="15" style="8" customWidth="1"/>
    <col min="15885" max="15885" width="12.7109375" style="8" customWidth="1"/>
    <col min="15886" max="15886" width="12.5703125" style="8" customWidth="1"/>
    <col min="15887" max="15887" width="14.28515625" style="8" customWidth="1"/>
    <col min="15888" max="15888" width="17.42578125" style="8" customWidth="1"/>
    <col min="15889" max="15889" width="12.42578125" style="8" customWidth="1"/>
    <col min="15890" max="15890" width="14.5703125" style="8" customWidth="1"/>
    <col min="15891" max="15891" width="12.85546875" style="8" customWidth="1"/>
    <col min="15892" max="15892" width="13.85546875" style="8" customWidth="1"/>
    <col min="15893" max="15893" width="15.28515625" style="8" customWidth="1"/>
    <col min="15894" max="15894" width="15.42578125" style="8" customWidth="1"/>
    <col min="15895" max="15896" width="14.7109375" style="8" customWidth="1"/>
    <col min="15897" max="15897" width="12.5703125" style="8" customWidth="1"/>
    <col min="15898" max="15898" width="13.28515625" style="8" customWidth="1"/>
    <col min="15899" max="15899" width="17.5703125" style="8" customWidth="1"/>
    <col min="15900" max="15900" width="17.7109375" style="8" customWidth="1"/>
    <col min="15901" max="15901" width="17.5703125" style="8" customWidth="1"/>
    <col min="15902" max="16128" width="9.140625" style="8"/>
    <col min="16129" max="16129" width="5.42578125" style="8" customWidth="1"/>
    <col min="16130" max="16130" width="23.85546875" style="8" customWidth="1"/>
    <col min="16131" max="16131" width="16.140625" style="8" customWidth="1"/>
    <col min="16132" max="16132" width="13.85546875" style="8" customWidth="1"/>
    <col min="16133" max="16134" width="11.7109375" style="8" customWidth="1"/>
    <col min="16135" max="16135" width="16" style="8" customWidth="1"/>
    <col min="16136" max="16136" width="16.85546875" style="8" customWidth="1"/>
    <col min="16137" max="16137" width="16.42578125" style="8" customWidth="1"/>
    <col min="16138" max="16138" width="12.42578125" style="8" customWidth="1"/>
    <col min="16139" max="16139" width="12.7109375" style="8" customWidth="1"/>
    <col min="16140" max="16140" width="15" style="8" customWidth="1"/>
    <col min="16141" max="16141" width="12.7109375" style="8" customWidth="1"/>
    <col min="16142" max="16142" width="12.5703125" style="8" customWidth="1"/>
    <col min="16143" max="16143" width="14.28515625" style="8" customWidth="1"/>
    <col min="16144" max="16144" width="17.42578125" style="8" customWidth="1"/>
    <col min="16145" max="16145" width="12.42578125" style="8" customWidth="1"/>
    <col min="16146" max="16146" width="14.5703125" style="8" customWidth="1"/>
    <col min="16147" max="16147" width="12.85546875" style="8" customWidth="1"/>
    <col min="16148" max="16148" width="13.85546875" style="8" customWidth="1"/>
    <col min="16149" max="16149" width="15.28515625" style="8" customWidth="1"/>
    <col min="16150" max="16150" width="15.42578125" style="8" customWidth="1"/>
    <col min="16151" max="16152" width="14.7109375" style="8" customWidth="1"/>
    <col min="16153" max="16153" width="12.5703125" style="8" customWidth="1"/>
    <col min="16154" max="16154" width="13.28515625" style="8" customWidth="1"/>
    <col min="16155" max="16155" width="17.5703125" style="8" customWidth="1"/>
    <col min="16156" max="16156" width="17.7109375" style="8" customWidth="1"/>
    <col min="16157" max="16157" width="17.5703125" style="8" customWidth="1"/>
    <col min="16158" max="16383" width="9.140625" style="8"/>
    <col min="16384" max="16384" width="9.140625" style="8" customWidth="1"/>
  </cols>
  <sheetData>
    <row r="1" spans="1:33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465"/>
      <c r="P1" s="5"/>
      <c r="Q1" s="5"/>
      <c r="R1" s="10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3" x14ac:dyDescent="0.2">
      <c r="A2" s="462" t="s">
        <v>423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66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3" ht="30" customHeight="1" x14ac:dyDescent="0.2">
      <c r="A3" s="1226" t="s">
        <v>0</v>
      </c>
      <c r="B3" s="1226" t="s">
        <v>132</v>
      </c>
      <c r="C3" s="1225" t="s">
        <v>10</v>
      </c>
      <c r="D3" s="1225"/>
      <c r="E3" s="1225"/>
      <c r="F3" s="1225"/>
      <c r="G3" s="1225"/>
      <c r="H3" s="1225"/>
      <c r="I3" s="1225"/>
      <c r="J3" s="1225"/>
      <c r="K3" s="1225"/>
      <c r="L3" s="1227" t="s">
        <v>253</v>
      </c>
      <c r="M3" s="1228"/>
      <c r="N3" s="1228"/>
      <c r="O3" s="1228"/>
      <c r="P3" s="1229"/>
      <c r="Q3" s="1225" t="s">
        <v>252</v>
      </c>
      <c r="R3" s="1225"/>
      <c r="S3" s="1225"/>
      <c r="T3" s="1225"/>
      <c r="U3" s="1225" t="s">
        <v>11</v>
      </c>
      <c r="V3" s="1225"/>
      <c r="W3" s="1225"/>
      <c r="X3" s="1225"/>
      <c r="Y3" s="1225"/>
      <c r="Z3" s="1225"/>
      <c r="AA3" s="1225"/>
      <c r="AB3" s="1225"/>
      <c r="AC3" s="1225"/>
      <c r="AD3" s="1225" t="s">
        <v>170</v>
      </c>
      <c r="AE3" s="1225" t="s">
        <v>9</v>
      </c>
    </row>
    <row r="4" spans="1:33" ht="84" customHeight="1" x14ac:dyDescent="0.2">
      <c r="A4" s="1226"/>
      <c r="B4" s="1226"/>
      <c r="C4" s="463" t="s">
        <v>353</v>
      </c>
      <c r="D4" s="463" t="s">
        <v>354</v>
      </c>
      <c r="E4" s="463" t="s">
        <v>355</v>
      </c>
      <c r="F4" s="378" t="s">
        <v>12</v>
      </c>
      <c r="G4" s="378" t="s">
        <v>13</v>
      </c>
      <c r="H4" s="378" t="s">
        <v>14</v>
      </c>
      <c r="I4" s="378" t="s">
        <v>173</v>
      </c>
      <c r="J4" s="378" t="s">
        <v>391</v>
      </c>
      <c r="K4" s="378" t="s">
        <v>6</v>
      </c>
      <c r="L4" s="378" t="s">
        <v>17</v>
      </c>
      <c r="M4" s="378" t="s">
        <v>169</v>
      </c>
      <c r="N4" s="378" t="s">
        <v>15</v>
      </c>
      <c r="O4" s="378" t="s">
        <v>130</v>
      </c>
      <c r="P4" s="378" t="s">
        <v>6</v>
      </c>
      <c r="Q4" s="378" t="s">
        <v>19</v>
      </c>
      <c r="R4" s="378" t="s">
        <v>131</v>
      </c>
      <c r="S4" s="378" t="s">
        <v>174</v>
      </c>
      <c r="T4" s="378" t="s">
        <v>6</v>
      </c>
      <c r="U4" s="378" t="s">
        <v>16</v>
      </c>
      <c r="V4" s="378" t="s">
        <v>254</v>
      </c>
      <c r="W4" s="727" t="s">
        <v>645</v>
      </c>
      <c r="X4" s="378" t="s">
        <v>389</v>
      </c>
      <c r="Y4" s="378" t="s">
        <v>18</v>
      </c>
      <c r="Z4" s="378" t="s">
        <v>383</v>
      </c>
      <c r="AA4" s="378" t="s">
        <v>20</v>
      </c>
      <c r="AB4" s="553" t="s">
        <v>235</v>
      </c>
      <c r="AC4" s="378" t="s">
        <v>6</v>
      </c>
      <c r="AD4" s="1225"/>
      <c r="AE4" s="1225"/>
    </row>
    <row r="5" spans="1:33" x14ac:dyDescent="0.2">
      <c r="A5" s="548">
        <v>1</v>
      </c>
      <c r="B5" s="53" t="str">
        <f>'Родительская плата '!A6</f>
        <v>МАДОУ ЦРР-детский сад № 2</v>
      </c>
      <c r="C5" s="11">
        <f>Тепло!P6</f>
        <v>2110263.0499999998</v>
      </c>
      <c r="D5" s="11"/>
      <c r="E5" s="11">
        <f>Электроэнергия!P6</f>
        <v>1316703.04</v>
      </c>
      <c r="F5" s="11">
        <f>Водопотребление!P6</f>
        <v>206233.35</v>
      </c>
      <c r="G5" s="11">
        <f>Водоотведение!P6</f>
        <v>116970.73</v>
      </c>
      <c r="H5" s="11">
        <f>Жбо!P6</f>
        <v>197289.4</v>
      </c>
      <c r="I5" s="11">
        <f>Выгреб!P6</f>
        <v>39815.94</v>
      </c>
      <c r="J5" s="12">
        <f>ТКО!N6</f>
        <v>56720.88</v>
      </c>
      <c r="K5" s="11">
        <f>SUM(C5:J5)</f>
        <v>4043996.3899999997</v>
      </c>
      <c r="L5" s="12"/>
      <c r="M5" s="12"/>
      <c r="N5" s="11">
        <f>'Дератизация, дезинсекция'!T4</f>
        <v>30953.4</v>
      </c>
      <c r="O5" s="77">
        <f>Аутсорсинг!O4</f>
        <v>19149.314960000105</v>
      </c>
      <c r="P5" s="12">
        <f>SUM(L5:O5)</f>
        <v>50102.714960000107</v>
      </c>
      <c r="Q5" s="12">
        <f>'Заправка огнетушителей'!K5</f>
        <v>2422</v>
      </c>
      <c r="R5" s="11">
        <f>'Обслуживание АПС'!H3</f>
        <v>72283.92</v>
      </c>
      <c r="S5" s="12">
        <f>'Стрелец- мониторинг'!H3</f>
        <v>24000</v>
      </c>
      <c r="T5" s="12">
        <f>SUM(Q5:S5)</f>
        <v>98705.919999999998</v>
      </c>
      <c r="U5" s="11">
        <f>'Обслуживание КТС'!H3</f>
        <v>79113.023999999976</v>
      </c>
      <c r="V5" s="12">
        <f>'Абон. плата охраны по КТС'!H5</f>
        <v>91779.839999999997</v>
      </c>
      <c r="W5" s="12">
        <f>Охрана!H3</f>
        <v>278195.27999999997</v>
      </c>
      <c r="X5" s="12">
        <f>'Программный продукт'!G4</f>
        <v>10310</v>
      </c>
      <c r="Y5" s="12">
        <f>'Лабораторные исследования'!F4</f>
        <v>44906.96</v>
      </c>
      <c r="Z5" s="7">
        <f>Канцтовары!E23</f>
        <v>12743.1</v>
      </c>
      <c r="AA5" s="13">
        <f>Подписка!E8</f>
        <v>20316.72</v>
      </c>
      <c r="AB5" s="13">
        <f>Хозрасходы!D17</f>
        <v>129880.65</v>
      </c>
      <c r="AC5" s="12">
        <f>SUM(U5:AB5)</f>
        <v>667245.57400000002</v>
      </c>
      <c r="AD5" s="12">
        <f>'Услуги связи'!Q6</f>
        <v>199057.10000000003</v>
      </c>
      <c r="AE5" s="77">
        <f t="shared" ref="AE5:AE13" si="0">K5+P5+T5+AC5+AD5</f>
        <v>5059107.6989599988</v>
      </c>
      <c r="AF5" s="367"/>
      <c r="AG5" s="367"/>
    </row>
    <row r="6" spans="1:33" x14ac:dyDescent="0.2">
      <c r="A6" s="548">
        <v>2</v>
      </c>
      <c r="B6" s="53" t="str">
        <f>'Родительская плата '!A7</f>
        <v>МАДОУ ЦРР-детский сад № 11</v>
      </c>
      <c r="C6" s="11">
        <f>Тепло!P7</f>
        <v>2705268.87</v>
      </c>
      <c r="D6" s="11"/>
      <c r="E6" s="11">
        <f>Электроэнергия!P7</f>
        <v>974789.82</v>
      </c>
      <c r="F6" s="11">
        <f>Водопотребление!P7</f>
        <v>228381.24</v>
      </c>
      <c r="G6" s="11">
        <f>Водоотведение!P7</f>
        <v>205526.65</v>
      </c>
      <c r="H6" s="11"/>
      <c r="I6" s="11"/>
      <c r="J6" s="12">
        <f>ТКО!N7</f>
        <v>65795.100000000006</v>
      </c>
      <c r="K6" s="11">
        <f t="shared" ref="K6:K13" si="1">SUM(C6:J6)</f>
        <v>4179761.6799999997</v>
      </c>
      <c r="L6" s="12"/>
      <c r="M6" s="12">
        <f>'Обслуживание груз. лифта'!D3</f>
        <v>15840</v>
      </c>
      <c r="N6" s="11">
        <f>'Дератизация, дезинсекция'!T6:T7</f>
        <v>33838.400000000001</v>
      </c>
      <c r="O6" s="77">
        <f>Аутсорсинг!O6</f>
        <v>273909.9944000002</v>
      </c>
      <c r="P6" s="12">
        <f t="shared" ref="P6:P13" si="2">SUM(L6:O6)</f>
        <v>323588.39440000022</v>
      </c>
      <c r="Q6" s="12">
        <f>'Заправка огнетушителей'!K6</f>
        <v>4152</v>
      </c>
      <c r="R6" s="11">
        <f>'Обслуживание АПС'!H5</f>
        <v>141000</v>
      </c>
      <c r="S6" s="12">
        <f>'Стрелец- мониторинг'!H7</f>
        <v>24000</v>
      </c>
      <c r="T6" s="12">
        <f t="shared" ref="T6:T13" si="3">SUM(Q6:S6)</f>
        <v>169152</v>
      </c>
      <c r="U6" s="11">
        <f>'Обслуживание КТС'!H7</f>
        <v>75959.712</v>
      </c>
      <c r="V6" s="12">
        <f>'Абон. плата охраны по КТС'!H9</f>
        <v>84131.520000000004</v>
      </c>
      <c r="W6" s="12">
        <f>Охрана!H7</f>
        <v>371746.44</v>
      </c>
      <c r="X6" s="12">
        <f>'Программный продукт'!G5</f>
        <v>10310</v>
      </c>
      <c r="Y6" s="12">
        <f>'Лабораторные исследования'!F5</f>
        <v>44906.96</v>
      </c>
      <c r="Z6" s="7">
        <f>Канцтовары!E24</f>
        <v>12743.1</v>
      </c>
      <c r="AA6" s="13">
        <f>Подписка!E9</f>
        <v>20316.72</v>
      </c>
      <c r="AB6" s="13">
        <f>Хозрасходы!D18</f>
        <v>152320.07999999999</v>
      </c>
      <c r="AC6" s="12">
        <f t="shared" ref="AC6:AC13" si="4">SUM(U6:AB6)</f>
        <v>772434.53199999989</v>
      </c>
      <c r="AD6" s="12">
        <f>'Услуги связи'!Q7</f>
        <v>197848.83000000002</v>
      </c>
      <c r="AE6" s="77">
        <f t="shared" si="0"/>
        <v>5642785.4364</v>
      </c>
      <c r="AG6" s="367"/>
    </row>
    <row r="7" spans="1:33" x14ac:dyDescent="0.2">
      <c r="A7" s="548">
        <v>3</v>
      </c>
      <c r="B7" s="53" t="str">
        <f>'Родительская плата '!A8</f>
        <v>МАДОУ ЦРР-детский сад № 13</v>
      </c>
      <c r="C7" s="11">
        <f>Тепло!P8</f>
        <v>2944954.05</v>
      </c>
      <c r="D7" s="11">
        <f>Тепло!P19</f>
        <v>110858.97</v>
      </c>
      <c r="E7" s="11">
        <f>Электроэнергия!P8</f>
        <v>1579888.51</v>
      </c>
      <c r="F7" s="11">
        <f>Водопотребление!P8</f>
        <v>359151.98</v>
      </c>
      <c r="G7" s="11">
        <f>Водоотведение!P8</f>
        <v>301902.75</v>
      </c>
      <c r="H7" s="11">
        <f>Жбо!P7</f>
        <v>85163.82</v>
      </c>
      <c r="I7" s="11">
        <f>Выгреб!P7</f>
        <v>12472.49</v>
      </c>
      <c r="J7" s="12">
        <f>ТКО!N8</f>
        <v>81600.72</v>
      </c>
      <c r="K7" s="11">
        <f t="shared" si="1"/>
        <v>5475993.29</v>
      </c>
      <c r="L7" s="12">
        <f>'Тех. обсл. газ. сетей'!M5</f>
        <v>0</v>
      </c>
      <c r="M7" s="12"/>
      <c r="N7" s="11">
        <f>'Дератизация, дезинсекция'!T8</f>
        <v>55183.605199999998</v>
      </c>
      <c r="O7" s="77">
        <f>Аутсорсинг!O9</f>
        <v>221025.70000000019</v>
      </c>
      <c r="P7" s="12">
        <f t="shared" si="2"/>
        <v>276209.30520000018</v>
      </c>
      <c r="Q7" s="12">
        <f>'Заправка огнетушителей'!K7</f>
        <v>4152</v>
      </c>
      <c r="R7" s="11">
        <f>'Обслуживание АПС'!H9</f>
        <v>77959.8</v>
      </c>
      <c r="S7" s="12">
        <f>'Стрелец- мониторинг'!H11</f>
        <v>30000</v>
      </c>
      <c r="T7" s="12">
        <f t="shared" si="3"/>
        <v>112111.8</v>
      </c>
      <c r="U7" s="11">
        <f>'Обслуживание КТС'!H11</f>
        <v>28707.263999999999</v>
      </c>
      <c r="V7" s="12">
        <f>'Абон. плата охраны по КТС'!H13</f>
        <v>118117.44</v>
      </c>
      <c r="W7" s="12">
        <f>Охрана!H11</f>
        <v>553950.96</v>
      </c>
      <c r="X7" s="12">
        <f>'Программный продукт'!G6</f>
        <v>10310</v>
      </c>
      <c r="Y7" s="12">
        <f>'Лабораторные исследования'!F6</f>
        <v>56133.7</v>
      </c>
      <c r="Z7" s="7">
        <f>Канцтовары!E25</f>
        <v>12743.1</v>
      </c>
      <c r="AA7" s="13">
        <f>Подписка!E10</f>
        <v>20316.72</v>
      </c>
      <c r="AB7" s="13">
        <f>Хозрасходы!D19</f>
        <v>174824.9</v>
      </c>
      <c r="AC7" s="12">
        <f t="shared" si="4"/>
        <v>975104.08399999992</v>
      </c>
      <c r="AD7" s="12">
        <f>'Услуги связи'!Q8</f>
        <v>278200.90000000002</v>
      </c>
      <c r="AE7" s="77">
        <f t="shared" si="0"/>
        <v>7117619.3792000003</v>
      </c>
      <c r="AG7" s="367"/>
    </row>
    <row r="8" spans="1:33" x14ac:dyDescent="0.2">
      <c r="A8" s="548">
        <v>4</v>
      </c>
      <c r="B8" s="53" t="str">
        <f>'Родительская плата '!A9</f>
        <v>МАОУ СОШ № 1 структурное подразделение</v>
      </c>
      <c r="C8" s="11">
        <f>Тепло!P9</f>
        <v>1698509.92</v>
      </c>
      <c r="D8" s="11"/>
      <c r="E8" s="11">
        <f>Электроэнергия!P9</f>
        <v>791041.31</v>
      </c>
      <c r="F8" s="11">
        <f>Водопотребление!P9</f>
        <v>194573.46</v>
      </c>
      <c r="G8" s="11">
        <f>Водоотведение!P9</f>
        <v>175076.94</v>
      </c>
      <c r="H8" s="11"/>
      <c r="I8" s="11"/>
      <c r="J8" s="12">
        <f>ТКО!N9</f>
        <v>140939.06</v>
      </c>
      <c r="K8" s="11">
        <f t="shared" si="1"/>
        <v>3000140.69</v>
      </c>
      <c r="L8" s="12"/>
      <c r="M8" s="12"/>
      <c r="N8" s="11">
        <f>'Дератизация, дезинсекция'!T11</f>
        <v>23200.847999999998</v>
      </c>
      <c r="O8" s="77">
        <f>Аутсорсинг!O14</f>
        <v>99921.18576000008</v>
      </c>
      <c r="P8" s="12">
        <f t="shared" si="2"/>
        <v>123122.03376000008</v>
      </c>
      <c r="Q8" s="12">
        <f>'Заправка огнетушителей'!K8</f>
        <v>2076</v>
      </c>
      <c r="R8" s="11">
        <f>'Обслуживание АПС'!H14</f>
        <v>69360</v>
      </c>
      <c r="S8" s="12">
        <f>'Стрелец- мониторинг'!H16</f>
        <v>12000</v>
      </c>
      <c r="T8" s="12">
        <f t="shared" si="3"/>
        <v>83436</v>
      </c>
      <c r="U8" s="11">
        <f>'Обслуживание КТС'!H16</f>
        <v>52260.479999999996</v>
      </c>
      <c r="V8" s="12">
        <f>'Абон. плата охраны по КТС'!H18</f>
        <v>53538.240000000005</v>
      </c>
      <c r="W8" s="12">
        <f>Охрана!H16</f>
        <v>135273.47999999998</v>
      </c>
      <c r="X8" s="12">
        <f>'Программный продукт'!G7</f>
        <v>5155</v>
      </c>
      <c r="Y8" s="12">
        <f>'Лабораторные исследования'!F7</f>
        <v>22453.48</v>
      </c>
      <c r="Z8" s="7">
        <f>Канцтовары!E26</f>
        <v>12743.1</v>
      </c>
      <c r="AA8" s="13">
        <f>Подписка!E11</f>
        <v>20316.72</v>
      </c>
      <c r="AB8" s="13">
        <f>Хозрасходы!D20</f>
        <v>108908.62</v>
      </c>
      <c r="AC8" s="12">
        <f t="shared" si="4"/>
        <v>410649.12</v>
      </c>
      <c r="AD8" s="12">
        <f>'Услуги связи'!Q9</f>
        <v>118631.47</v>
      </c>
      <c r="AE8" s="77">
        <f t="shared" si="0"/>
        <v>3735979.3137600003</v>
      </c>
      <c r="AG8" s="367"/>
    </row>
    <row r="9" spans="1:33" ht="25.5" x14ac:dyDescent="0.2">
      <c r="A9" s="548">
        <v>5</v>
      </c>
      <c r="B9" s="53" t="str">
        <f>'Родительская плата '!A10</f>
        <v>МАОУ СОШ № 2 им.М.И.Грибушина структурное подразделение</v>
      </c>
      <c r="C9" s="11">
        <f>Тепло!P10</f>
        <v>994918.35</v>
      </c>
      <c r="D9" s="11"/>
      <c r="E9" s="11">
        <f>Электроэнергия!P10</f>
        <v>728884.17</v>
      </c>
      <c r="F9" s="11">
        <f>Водопотребление!P10</f>
        <v>87121.53</v>
      </c>
      <c r="G9" s="11">
        <f>Водоотведение!P10</f>
        <v>17153.990000000002</v>
      </c>
      <c r="H9" s="11">
        <f>Жбо!P8</f>
        <v>200471.04000000001</v>
      </c>
      <c r="I9" s="11">
        <f>Выгреб!P8</f>
        <v>35509</v>
      </c>
      <c r="J9" s="12">
        <f>ТКО!N10</f>
        <v>51654.11</v>
      </c>
      <c r="K9" s="11">
        <f t="shared" si="1"/>
        <v>2115712.19</v>
      </c>
      <c r="L9" s="12"/>
      <c r="M9" s="12"/>
      <c r="N9" s="11">
        <f>'Дератизация, дезинсекция'!T13</f>
        <v>20790.199999999997</v>
      </c>
      <c r="O9" s="77">
        <f>Аутсорсинг!O16</f>
        <v>179421.22080000001</v>
      </c>
      <c r="P9" s="12">
        <f t="shared" si="2"/>
        <v>200211.42080000002</v>
      </c>
      <c r="Q9" s="12">
        <f>'Заправка огнетушителей'!K9</f>
        <v>1730</v>
      </c>
      <c r="R9" s="11">
        <f>'Обслуживание АПС'!H15</f>
        <v>45660.959999999999</v>
      </c>
      <c r="S9" s="12">
        <f>'Стрелец- мониторинг'!H18</f>
        <v>18000</v>
      </c>
      <c r="T9" s="12">
        <f t="shared" si="3"/>
        <v>65390.96</v>
      </c>
      <c r="U9" s="11">
        <f>'Обслуживание КТС'!H18</f>
        <v>44293.247999999992</v>
      </c>
      <c r="V9" s="12">
        <f>'Абон. плата охраны по КТС'!H20</f>
        <v>68834.880000000005</v>
      </c>
      <c r="W9" s="12">
        <f>Охрана!H18</f>
        <v>231954.36</v>
      </c>
      <c r="X9" s="12">
        <f>'Программный продукт'!G8</f>
        <v>5155</v>
      </c>
      <c r="Y9" s="12">
        <f>'Лабораторные исследования'!F8</f>
        <v>33680.22</v>
      </c>
      <c r="Z9" s="7">
        <f>Канцтовары!E27</f>
        <v>12743.1</v>
      </c>
      <c r="AA9" s="13">
        <f>Подписка!E12</f>
        <v>20316.72</v>
      </c>
      <c r="AB9" s="13">
        <f>Хозрасходы!D21</f>
        <v>78557.19</v>
      </c>
      <c r="AC9" s="12">
        <f t="shared" si="4"/>
        <v>495534.71799999994</v>
      </c>
      <c r="AD9" s="12">
        <f>'Услуги связи'!Q10</f>
        <v>159092.09999999998</v>
      </c>
      <c r="AE9" s="77">
        <f t="shared" si="0"/>
        <v>3035941.3887999998</v>
      </c>
      <c r="AG9" s="367"/>
    </row>
    <row r="10" spans="1:33" x14ac:dyDescent="0.2">
      <c r="A10" s="548">
        <v>6</v>
      </c>
      <c r="B10" s="53" t="str">
        <f>'Родительская плата '!A11</f>
        <v>МАОУ СОШ № 10 структурное подразделение</v>
      </c>
      <c r="C10" s="11">
        <f>Тепло!P11</f>
        <v>1003818.55</v>
      </c>
      <c r="D10" s="11"/>
      <c r="E10" s="11">
        <f>Электроэнергия!P11</f>
        <v>362822.3</v>
      </c>
      <c r="F10" s="11">
        <f>Водопотребление!P11</f>
        <v>91164.05</v>
      </c>
      <c r="G10" s="11">
        <f>Водоотведение!P11</f>
        <v>82037.649999999994</v>
      </c>
      <c r="H10" s="11"/>
      <c r="I10" s="11"/>
      <c r="J10" s="12">
        <f>ТКО!N11</f>
        <v>35243.17</v>
      </c>
      <c r="K10" s="11">
        <f t="shared" si="1"/>
        <v>1575085.72</v>
      </c>
      <c r="L10" s="12"/>
      <c r="M10" s="12">
        <f>'Обслуживание груз. лифта'!D4</f>
        <v>13200</v>
      </c>
      <c r="N10" s="11">
        <f>'Дератизация, дезинсекция'!T14</f>
        <v>14033.995999999999</v>
      </c>
      <c r="O10" s="77">
        <f>Аутсорсинг!O17</f>
        <v>1058.4129600000451</v>
      </c>
      <c r="P10" s="12">
        <f t="shared" si="2"/>
        <v>28292.408960000044</v>
      </c>
      <c r="Q10" s="12">
        <f>'Заправка огнетушителей'!K10</f>
        <v>1038</v>
      </c>
      <c r="R10" s="11">
        <f>'Обслуживание АПС'!H16</f>
        <v>22800</v>
      </c>
      <c r="S10" s="12">
        <f>'Стрелец- мониторинг'!H21</f>
        <v>18000</v>
      </c>
      <c r="T10" s="12">
        <f t="shared" si="3"/>
        <v>41838</v>
      </c>
      <c r="U10" s="11">
        <f>'Обслуживание КТС'!H21</f>
        <v>84923.423999999999</v>
      </c>
      <c r="V10" s="12">
        <f>'Абон. плата охраны по КТС'!H23</f>
        <v>29502.48</v>
      </c>
      <c r="W10" s="12">
        <f>Охрана!H21</f>
        <v>45137.520000000004</v>
      </c>
      <c r="X10" s="12">
        <f>'Программный продукт'!G9</f>
        <v>5155</v>
      </c>
      <c r="Y10" s="12">
        <f>'Лабораторные исследования'!F9</f>
        <v>22453.48</v>
      </c>
      <c r="Z10" s="7">
        <f>Канцтовары!E28</f>
        <v>12743.1</v>
      </c>
      <c r="AA10" s="13">
        <f>Подписка!E13</f>
        <v>20316.72</v>
      </c>
      <c r="AB10" s="13">
        <f>Хозрасходы!D22</f>
        <v>62772.52</v>
      </c>
      <c r="AC10" s="12">
        <f t="shared" si="4"/>
        <v>283004.24400000001</v>
      </c>
      <c r="AD10" s="12">
        <f>'Услуги связи'!Q11</f>
        <v>118877.41</v>
      </c>
      <c r="AE10" s="77">
        <f t="shared" si="0"/>
        <v>2047097.78296</v>
      </c>
      <c r="AG10" s="367"/>
    </row>
    <row r="11" spans="1:33" x14ac:dyDescent="0.2">
      <c r="A11" s="548">
        <v>7</v>
      </c>
      <c r="B11" s="53" t="str">
        <f>'Родительская плата '!A12</f>
        <v>МАОУ СОШ № 13 структурное подразделение</v>
      </c>
      <c r="C11" s="11">
        <f>Тепло!P12</f>
        <v>842875.96</v>
      </c>
      <c r="D11" s="11"/>
      <c r="E11" s="11">
        <f>Электроэнергия!P12</f>
        <v>794410.82</v>
      </c>
      <c r="F11" s="11">
        <f>Водопотребление!P12</f>
        <v>111439.24</v>
      </c>
      <c r="G11" s="11">
        <f>Водоотведение!P12</f>
        <v>100301.42</v>
      </c>
      <c r="H11" s="11"/>
      <c r="I11" s="11"/>
      <c r="J11" s="12">
        <f>ТКО!N12</f>
        <v>22598.67</v>
      </c>
      <c r="K11" s="11">
        <f t="shared" si="1"/>
        <v>1871626.1099999996</v>
      </c>
      <c r="L11" s="12"/>
      <c r="M11" s="12"/>
      <c r="N11" s="11">
        <f>'Дератизация, дезинсекция'!T15</f>
        <v>12956</v>
      </c>
      <c r="O11" s="77">
        <f>Аутсорсинг!O18</f>
        <v>47023.531200000143</v>
      </c>
      <c r="P11" s="12">
        <f t="shared" si="2"/>
        <v>59979.531200000143</v>
      </c>
      <c r="Q11" s="12">
        <f>'Заправка огнетушителей'!K11</f>
        <v>1384</v>
      </c>
      <c r="R11" s="11">
        <f>'Обслуживание АПС'!H17</f>
        <v>14163.48</v>
      </c>
      <c r="S11" s="12">
        <f>'Стрелец- мониторинг'!H22</f>
        <v>6000</v>
      </c>
      <c r="T11" s="12">
        <f t="shared" si="3"/>
        <v>21547.48</v>
      </c>
      <c r="U11" s="11">
        <f>'Обслуживание КТС'!H23</f>
        <v>55791.072</v>
      </c>
      <c r="V11" s="12">
        <f>'Абон. плата охраны по КТС'!H25</f>
        <v>14224.439999999999</v>
      </c>
      <c r="W11" s="12">
        <f>Охрана!H23</f>
        <v>23095.56</v>
      </c>
      <c r="X11" s="12">
        <f>'Программный продукт'!G10</f>
        <v>5155</v>
      </c>
      <c r="Y11" s="12">
        <f>'Лабораторные исследования'!F10</f>
        <v>11226.74</v>
      </c>
      <c r="Z11" s="7">
        <f>Канцтовары!E29</f>
        <v>12743.1</v>
      </c>
      <c r="AA11" s="13">
        <f>Подписка!E14</f>
        <v>20316.72</v>
      </c>
      <c r="AB11" s="13">
        <f>Хозрасходы!D23</f>
        <v>45520.45</v>
      </c>
      <c r="AC11" s="12">
        <f t="shared" si="4"/>
        <v>188073.08199999999</v>
      </c>
      <c r="AD11" s="12">
        <f>'Услуги связи'!Q12</f>
        <v>79489.36</v>
      </c>
      <c r="AE11" s="77">
        <f t="shared" si="0"/>
        <v>2220715.5631999997</v>
      </c>
      <c r="AG11" s="367"/>
    </row>
    <row r="12" spans="1:33" x14ac:dyDescent="0.2">
      <c r="A12" s="548">
        <v>8</v>
      </c>
      <c r="B12" s="53" t="str">
        <f>'Родительская плата '!A13</f>
        <v>Гимназия № 16 структурное подразделение</v>
      </c>
      <c r="C12" s="11">
        <f>Тепло!P13</f>
        <v>2003020.42</v>
      </c>
      <c r="D12" s="11"/>
      <c r="E12" s="11">
        <f>Электроэнергия!P13</f>
        <v>790852.13</v>
      </c>
      <c r="F12" s="11">
        <f>Водопотребление!P13</f>
        <v>265411.02</v>
      </c>
      <c r="G12" s="11">
        <f>Водоотведение!P13</f>
        <v>238948.05</v>
      </c>
      <c r="H12" s="11"/>
      <c r="I12" s="11"/>
      <c r="J12" s="12">
        <f>ТКО!N13</f>
        <v>23002.22</v>
      </c>
      <c r="K12" s="11">
        <f t="shared" si="1"/>
        <v>3321233.84</v>
      </c>
      <c r="L12" s="12"/>
      <c r="M12" s="12"/>
      <c r="N12" s="11">
        <f>'Дератизация, дезинсекция'!T16</f>
        <v>39095.860800000002</v>
      </c>
      <c r="O12" s="77">
        <f>Аутсорсинг!O19</f>
        <v>261681.57696000009</v>
      </c>
      <c r="P12" s="12">
        <f t="shared" si="2"/>
        <v>300777.43776000012</v>
      </c>
      <c r="Q12" s="12">
        <f>'Заправка огнетушителей'!K12</f>
        <v>2422</v>
      </c>
      <c r="R12" s="11">
        <f>'Обслуживание АПС'!H18</f>
        <v>34503</v>
      </c>
      <c r="S12" s="12">
        <f>'Стрелец- мониторинг'!H23</f>
        <v>18000</v>
      </c>
      <c r="T12" s="12">
        <f t="shared" si="3"/>
        <v>54925</v>
      </c>
      <c r="U12" s="11">
        <f>'Обслуживание КТС'!H24</f>
        <v>19487.952000000001</v>
      </c>
      <c r="V12" s="12">
        <f>'Абон. плата охраны по КТС'!H26</f>
        <v>68834.880000000005</v>
      </c>
      <c r="W12" s="12">
        <f>Охрана!H24</f>
        <v>420596.16</v>
      </c>
      <c r="X12" s="12">
        <f>'Программный продукт'!G11</f>
        <v>5155</v>
      </c>
      <c r="Y12" s="12">
        <f>'Лабораторные исследования'!F11</f>
        <v>33680.22</v>
      </c>
      <c r="Z12" s="7">
        <f>Канцтовары!E30</f>
        <v>12743.1</v>
      </c>
      <c r="AA12" s="13">
        <f>Подписка!E15</f>
        <v>20316.72</v>
      </c>
      <c r="AB12" s="13">
        <f>Хозрасходы!D24</f>
        <v>94433.79</v>
      </c>
      <c r="AC12" s="12">
        <f t="shared" si="4"/>
        <v>675247.82199999993</v>
      </c>
      <c r="AD12" s="12">
        <f>'Услуги связи'!Q13</f>
        <v>158439.43</v>
      </c>
      <c r="AE12" s="77">
        <f t="shared" si="0"/>
        <v>4510623.5297599994</v>
      </c>
      <c r="AG12" s="367"/>
    </row>
    <row r="13" spans="1:33" ht="26.25" thickBot="1" x14ac:dyDescent="0.25">
      <c r="A13" s="740">
        <v>9</v>
      </c>
      <c r="B13" s="55" t="str">
        <f>'Родительская плата '!A14</f>
        <v>МАОУ ООШ № 17 с кадетскими классами структурное подразделение</v>
      </c>
      <c r="C13" s="777">
        <f>Тепло!P14</f>
        <v>1417939.64</v>
      </c>
      <c r="D13" s="777"/>
      <c r="E13" s="777">
        <f>Электроэнергия!P14</f>
        <v>613283.85</v>
      </c>
      <c r="F13" s="777">
        <f>Водопотребление!P14</f>
        <v>34913.71</v>
      </c>
      <c r="G13" s="777">
        <f>Водоотведение!P14</f>
        <v>0</v>
      </c>
      <c r="H13" s="777">
        <f>Жбо!P9</f>
        <v>107110.08</v>
      </c>
      <c r="I13" s="777">
        <f>Выгреб!P9</f>
        <v>18210.57</v>
      </c>
      <c r="J13" s="778">
        <f>ТКО!N14</f>
        <v>18008.32</v>
      </c>
      <c r="K13" s="777">
        <f t="shared" si="1"/>
        <v>2209466.1699999995</v>
      </c>
      <c r="L13" s="778"/>
      <c r="M13" s="778"/>
      <c r="N13" s="777">
        <f>'Дератизация, дезинсекция'!T17</f>
        <v>12743.193599999999</v>
      </c>
      <c r="O13" s="779">
        <f>Аутсорсинг!O20</f>
        <v>204284.41056000002</v>
      </c>
      <c r="P13" s="778">
        <f t="shared" si="2"/>
        <v>217027.60416000002</v>
      </c>
      <c r="Q13" s="778">
        <f>'Заправка огнетушителей'!K13</f>
        <v>692</v>
      </c>
      <c r="R13" s="777">
        <f>'Обслуживание АПС'!H19</f>
        <v>20625.48</v>
      </c>
      <c r="S13" s="778">
        <f>'Стрелец- мониторинг'!H26</f>
        <v>6000</v>
      </c>
      <c r="T13" s="778">
        <f t="shared" si="3"/>
        <v>27317.48</v>
      </c>
      <c r="U13" s="777">
        <f>'Обслуживание КТС'!H27</f>
        <v>7794.8639999999987</v>
      </c>
      <c r="V13" s="778">
        <f>'Абон. плата охраны по КТС'!H29</f>
        <v>22944.959999999999</v>
      </c>
      <c r="W13" s="778">
        <f>Охрана!H27</f>
        <v>124722.59999999999</v>
      </c>
      <c r="X13" s="778">
        <f>'Программный продукт'!G12</f>
        <v>5155</v>
      </c>
      <c r="Y13" s="778">
        <f>'Лабораторные исследования'!F12</f>
        <v>11226.74</v>
      </c>
      <c r="Z13" s="780">
        <f>Канцтовары!E31</f>
        <v>12743.1</v>
      </c>
      <c r="AA13" s="781">
        <f>Подписка!E16</f>
        <v>20316.72</v>
      </c>
      <c r="AB13" s="781">
        <f>Хозрасходы!D25</f>
        <v>28465.03</v>
      </c>
      <c r="AC13" s="778">
        <f t="shared" si="4"/>
        <v>233369.014</v>
      </c>
      <c r="AD13" s="778">
        <f>'Услуги связи'!Q14</f>
        <v>79587.45</v>
      </c>
      <c r="AE13" s="779">
        <f t="shared" si="0"/>
        <v>2766767.7181599997</v>
      </c>
      <c r="AG13" s="367"/>
    </row>
    <row r="14" spans="1:33" ht="13.5" thickBot="1" x14ac:dyDescent="0.25">
      <c r="A14" s="782"/>
      <c r="B14" s="783" t="s">
        <v>1</v>
      </c>
      <c r="C14" s="784">
        <f t="shared" ref="C14:AD14" si="5">SUM(C5:C13)</f>
        <v>15721568.810000001</v>
      </c>
      <c r="D14" s="784">
        <f t="shared" si="5"/>
        <v>110858.97</v>
      </c>
      <c r="E14" s="784">
        <f t="shared" si="5"/>
        <v>7952675.9499999993</v>
      </c>
      <c r="F14" s="784">
        <f t="shared" si="5"/>
        <v>1578389.5799999998</v>
      </c>
      <c r="G14" s="784">
        <f t="shared" si="5"/>
        <v>1237918.1800000002</v>
      </c>
      <c r="H14" s="784">
        <f t="shared" si="5"/>
        <v>590034.34</v>
      </c>
      <c r="I14" s="784">
        <f t="shared" si="5"/>
        <v>106008</v>
      </c>
      <c r="J14" s="784">
        <f>SUM(J5:J13)</f>
        <v>495562.24999999994</v>
      </c>
      <c r="K14" s="784">
        <f t="shared" si="5"/>
        <v>27793016.079999994</v>
      </c>
      <c r="L14" s="784">
        <f t="shared" si="5"/>
        <v>0</v>
      </c>
      <c r="M14" s="784">
        <f t="shared" si="5"/>
        <v>29040</v>
      </c>
      <c r="N14" s="784">
        <f t="shared" si="5"/>
        <v>242795.50359999997</v>
      </c>
      <c r="O14" s="785">
        <f t="shared" si="5"/>
        <v>1307475.3476000007</v>
      </c>
      <c r="P14" s="784">
        <f t="shared" si="5"/>
        <v>1579310.8512000011</v>
      </c>
      <c r="Q14" s="784">
        <f t="shared" si="5"/>
        <v>20068</v>
      </c>
      <c r="R14" s="784">
        <f t="shared" si="5"/>
        <v>498356.63999999996</v>
      </c>
      <c r="S14" s="784">
        <f t="shared" si="5"/>
        <v>156000</v>
      </c>
      <c r="T14" s="784">
        <f t="shared" si="5"/>
        <v>674424.6399999999</v>
      </c>
      <c r="U14" s="784">
        <f t="shared" si="5"/>
        <v>448331.04</v>
      </c>
      <c r="V14" s="784">
        <f t="shared" si="5"/>
        <v>551908.67999999993</v>
      </c>
      <c r="W14" s="784">
        <f t="shared" si="5"/>
        <v>2184672.36</v>
      </c>
      <c r="X14" s="784">
        <f t="shared" si="5"/>
        <v>61860</v>
      </c>
      <c r="Y14" s="784">
        <f t="shared" si="5"/>
        <v>280668.5</v>
      </c>
      <c r="Z14" s="784">
        <f t="shared" si="5"/>
        <v>114687.90000000002</v>
      </c>
      <c r="AA14" s="784">
        <f t="shared" si="5"/>
        <v>182850.48</v>
      </c>
      <c r="AB14" s="784">
        <f t="shared" si="5"/>
        <v>875683.23</v>
      </c>
      <c r="AC14" s="784">
        <f t="shared" si="5"/>
        <v>4700662.1900000004</v>
      </c>
      <c r="AD14" s="784">
        <f t="shared" si="5"/>
        <v>1389224.05</v>
      </c>
      <c r="AE14" s="786">
        <f>SUM(AE5:AE13)</f>
        <v>36136637.8112</v>
      </c>
      <c r="AG14" s="367"/>
    </row>
    <row r="15" spans="1:33" x14ac:dyDescent="0.2"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  <c r="N15" s="187"/>
      <c r="O15" s="467"/>
      <c r="P15" s="187"/>
      <c r="Q15" s="187"/>
      <c r="R15" s="187"/>
      <c r="S15" s="187"/>
      <c r="T15" s="187"/>
      <c r="U15" s="187"/>
      <c r="V15" s="187"/>
      <c r="W15" s="187"/>
      <c r="X15" s="187"/>
      <c r="Y15" s="187"/>
      <c r="Z15" s="187"/>
      <c r="AA15" s="187"/>
      <c r="AB15" s="187"/>
      <c r="AC15" s="187"/>
      <c r="AD15" s="187"/>
      <c r="AE15" s="187"/>
    </row>
    <row r="16" spans="1:33" ht="13.5" thickBot="1" x14ac:dyDescent="0.25">
      <c r="C16" s="188">
        <f>Тепло!P15</f>
        <v>15721568.810000001</v>
      </c>
      <c r="D16" s="187">
        <f>Тепло!P19</f>
        <v>110858.97</v>
      </c>
      <c r="E16" s="187">
        <f>Электроэнергия!P15</f>
        <v>7952675.9499999993</v>
      </c>
      <c r="F16" s="188">
        <f>Водопотребление!P15</f>
        <v>1578389.5799999998</v>
      </c>
      <c r="G16" s="188">
        <f>Водоотведение!P15</f>
        <v>1237918.1800000002</v>
      </c>
      <c r="H16" s="187">
        <f>Жбо!P10</f>
        <v>590034.34</v>
      </c>
      <c r="I16" s="187">
        <f>Выгреб!P10</f>
        <v>106008</v>
      </c>
      <c r="J16" s="187">
        <f>ТКО!N15</f>
        <v>495562.24999999994</v>
      </c>
      <c r="K16" s="188"/>
      <c r="L16" s="187">
        <f>'Тех. обсл. газ. сетей'!M5</f>
        <v>0</v>
      </c>
      <c r="M16" s="187">
        <f>'Обслуживание груз. лифта'!D5</f>
        <v>29040</v>
      </c>
      <c r="N16" s="187">
        <f>'Дератизация, дезинсекция'!T18</f>
        <v>242795.50359999997</v>
      </c>
      <c r="O16" s="467">
        <f>Аутсорсинг!O21</f>
        <v>1307475.3476000007</v>
      </c>
      <c r="P16" s="188"/>
      <c r="Q16" s="187">
        <f>'Заправка огнетушителей'!K14</f>
        <v>20068</v>
      </c>
      <c r="R16" s="187">
        <f>'Обслуживание АПС'!H20</f>
        <v>498356.63999999996</v>
      </c>
      <c r="S16" s="187">
        <f>'Стрелец- мониторинг'!H27</f>
        <v>156000</v>
      </c>
      <c r="T16" s="188"/>
      <c r="U16" s="187">
        <f>'Обслуживание КТС'!H28</f>
        <v>448331.04</v>
      </c>
      <c r="V16" s="188">
        <f>'Абон. плата охраны по КТС'!H30</f>
        <v>551908.67999999993</v>
      </c>
      <c r="W16" s="187">
        <f>Охрана!H28</f>
        <v>2184672.36</v>
      </c>
      <c r="X16" s="188">
        <f>'Программный продукт'!G13</f>
        <v>61860</v>
      </c>
      <c r="Y16" s="188">
        <f>'Лабораторные исследования'!F13</f>
        <v>280668.5</v>
      </c>
      <c r="Z16" s="188">
        <f>Канцтовары!E32</f>
        <v>114687.90000000002</v>
      </c>
      <c r="AA16" s="188">
        <f>Подписка!E17</f>
        <v>182850.48</v>
      </c>
      <c r="AB16" s="187">
        <f>Хозрасходы!D26</f>
        <v>875683.23</v>
      </c>
      <c r="AC16" s="188"/>
      <c r="AD16" s="188">
        <f>'Услуги связи'!Q15</f>
        <v>1389224.05</v>
      </c>
      <c r="AE16" s="188">
        <f>SUM(C16:AD16)</f>
        <v>36136637.811199985</v>
      </c>
    </row>
    <row r="17" spans="3:31" ht="13.5" thickBot="1" x14ac:dyDescent="0.25">
      <c r="C17" s="774">
        <f>C16-C14</f>
        <v>0</v>
      </c>
      <c r="D17" s="775">
        <f t="shared" ref="D17:AD17" si="6">D16-D14</f>
        <v>0</v>
      </c>
      <c r="E17" s="775">
        <f t="shared" si="6"/>
        <v>0</v>
      </c>
      <c r="F17" s="775">
        <f t="shared" si="6"/>
        <v>0</v>
      </c>
      <c r="G17" s="775">
        <f t="shared" si="6"/>
        <v>0</v>
      </c>
      <c r="H17" s="775">
        <f t="shared" si="6"/>
        <v>0</v>
      </c>
      <c r="I17" s="775">
        <f t="shared" si="6"/>
        <v>0</v>
      </c>
      <c r="J17" s="775">
        <f t="shared" si="6"/>
        <v>0</v>
      </c>
      <c r="K17" s="775"/>
      <c r="L17" s="775">
        <f t="shared" si="6"/>
        <v>0</v>
      </c>
      <c r="M17" s="775">
        <f t="shared" si="6"/>
        <v>0</v>
      </c>
      <c r="N17" s="775">
        <f t="shared" si="6"/>
        <v>0</v>
      </c>
      <c r="O17" s="775">
        <f t="shared" si="6"/>
        <v>0</v>
      </c>
      <c r="P17" s="775"/>
      <c r="Q17" s="775">
        <f t="shared" si="6"/>
        <v>0</v>
      </c>
      <c r="R17" s="775">
        <f t="shared" si="6"/>
        <v>0</v>
      </c>
      <c r="S17" s="775">
        <f t="shared" si="6"/>
        <v>0</v>
      </c>
      <c r="T17" s="775"/>
      <c r="U17" s="775">
        <f t="shared" si="6"/>
        <v>0</v>
      </c>
      <c r="V17" s="775">
        <f t="shared" si="6"/>
        <v>0</v>
      </c>
      <c r="W17" s="775">
        <f t="shared" si="6"/>
        <v>0</v>
      </c>
      <c r="X17" s="775">
        <f t="shared" si="6"/>
        <v>0</v>
      </c>
      <c r="Y17" s="775">
        <f t="shared" si="6"/>
        <v>0</v>
      </c>
      <c r="Z17" s="775">
        <f t="shared" si="6"/>
        <v>0</v>
      </c>
      <c r="AA17" s="775">
        <f t="shared" si="6"/>
        <v>0</v>
      </c>
      <c r="AB17" s="775">
        <f t="shared" si="6"/>
        <v>0</v>
      </c>
      <c r="AC17" s="775"/>
      <c r="AD17" s="775">
        <f t="shared" si="6"/>
        <v>0</v>
      </c>
      <c r="AE17" s="776">
        <f>AE16-AE14</f>
        <v>0</v>
      </c>
    </row>
    <row r="19" spans="3:31" ht="13.5" thickBot="1" x14ac:dyDescent="0.25">
      <c r="AE19" s="367">
        <f>'Услуги связи'!Q15+Электроэнергия!P15+Тепло!P15+Тепло!P20+Водопотребление!P15+Водоотведение!P15+Жбо!P10+Выгреб!P10+ТКО!N15+'Дератизация, дезинсекция'!T18+'Заправка огнетушителей'!K14+Охрана!H28+'Обслуживание КТС'!H28+'Обслуживание АПС'!H20+'Тех. обсл. газ. сетей'!M5+'Тех. обсл. газ. сетей'!M5+Аутсорсинг!O21+'Стрелец- мониторинг'!H27+'Обслуживание груз. лифта'!D5+'Лабораторные исследования'!F13+'Абон. плата охраны по КТС'!H30+'Программный продукт'!G13+Подписка!E17+Канцтовары!E32+Хозрасходы!D26</f>
        <v>36136637.811199993</v>
      </c>
    </row>
    <row r="20" spans="3:31" ht="13.5" thickBot="1" x14ac:dyDescent="0.25">
      <c r="AE20" s="773">
        <f>AE19-AE16</f>
        <v>0</v>
      </c>
    </row>
  </sheetData>
  <mergeCells count="8">
    <mergeCell ref="AE3:AE4"/>
    <mergeCell ref="AD3:AD4"/>
    <mergeCell ref="U3:AC3"/>
    <mergeCell ref="A3:A4"/>
    <mergeCell ref="B3:B4"/>
    <mergeCell ref="C3:K3"/>
    <mergeCell ref="Q3:T3"/>
    <mergeCell ref="L3:P3"/>
  </mergeCells>
  <pageMargins left="0.7" right="0.7" top="0.75" bottom="0.75" header="0.3" footer="0.3"/>
  <pageSetup paperSize="9" scale="28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pageSetUpPr fitToPage="1"/>
  </sheetPr>
  <dimension ref="A1:H20"/>
  <sheetViews>
    <sheetView zoomScale="110" zoomScaleNormal="110" workbookViewId="0">
      <selection activeCell="AE14" sqref="AE14"/>
    </sheetView>
  </sheetViews>
  <sheetFormatPr defaultColWidth="9.140625" defaultRowHeight="12.75" x14ac:dyDescent="0.2"/>
  <cols>
    <col min="1" max="1" width="5.42578125" style="8" customWidth="1"/>
    <col min="2" max="2" width="45.42578125" style="8" customWidth="1"/>
    <col min="3" max="3" width="18.5703125" style="8" customWidth="1"/>
    <col min="4" max="4" width="13.7109375" style="170" customWidth="1"/>
    <col min="5" max="5" width="13.140625" style="170" customWidth="1"/>
    <col min="6" max="6" width="14.28515625" style="170" customWidth="1"/>
    <col min="7" max="16384" width="9.140625" style="170"/>
  </cols>
  <sheetData>
    <row r="1" spans="1:8" x14ac:dyDescent="0.2">
      <c r="A1" s="10"/>
      <c r="B1" s="10"/>
      <c r="C1" s="10"/>
    </row>
    <row r="2" spans="1:8" ht="15.75" customHeight="1" x14ac:dyDescent="0.2">
      <c r="A2" s="468" t="s">
        <v>424</v>
      </c>
      <c r="B2" s="326"/>
      <c r="C2" s="326"/>
      <c r="D2" s="326"/>
      <c r="E2" s="326"/>
      <c r="F2" s="326"/>
    </row>
    <row r="3" spans="1:8" x14ac:dyDescent="0.2">
      <c r="B3" s="5"/>
      <c r="C3" s="5"/>
    </row>
    <row r="4" spans="1:8" ht="15" customHeight="1" x14ac:dyDescent="0.2">
      <c r="A4" s="1230" t="s">
        <v>0</v>
      </c>
      <c r="B4" s="1230" t="s">
        <v>132</v>
      </c>
      <c r="C4" s="1230" t="str">
        <f>Коэффициенты!Q3</f>
        <v>Коэффициент платной деятельности</v>
      </c>
      <c r="D4" s="1226" t="s">
        <v>297</v>
      </c>
      <c r="E4" s="1226"/>
      <c r="F4" s="1226"/>
    </row>
    <row r="5" spans="1:8" ht="30.6" customHeight="1" x14ac:dyDescent="0.2">
      <c r="A5" s="1231"/>
      <c r="B5" s="1231"/>
      <c r="C5" s="1231"/>
      <c r="D5" s="320" t="s">
        <v>298</v>
      </c>
      <c r="E5" s="320" t="s">
        <v>299</v>
      </c>
      <c r="F5" s="320" t="s">
        <v>6</v>
      </c>
    </row>
    <row r="6" spans="1:8" x14ac:dyDescent="0.2">
      <c r="A6" s="318">
        <v>2</v>
      </c>
      <c r="B6" s="324" t="str">
        <f>ОХ2021!B5</f>
        <v>МАДОУ ЦРР-детский сад № 2</v>
      </c>
      <c r="C6" s="358"/>
      <c r="D6" s="328">
        <f>'Налог на землю'!G4</f>
        <v>245167</v>
      </c>
      <c r="E6" s="327">
        <f>'Налог на имущество'!E4</f>
        <v>216605</v>
      </c>
      <c r="F6" s="327">
        <f>ROUND((D6+E6)-((D6+E6)*C6),-2)+200</f>
        <v>462000</v>
      </c>
      <c r="G6" s="772">
        <f>D6+E6</f>
        <v>461772</v>
      </c>
      <c r="H6" s="772">
        <f>F6-G6</f>
        <v>228</v>
      </c>
    </row>
    <row r="7" spans="1:8" x14ac:dyDescent="0.2">
      <c r="A7" s="318">
        <v>3</v>
      </c>
      <c r="B7" s="324" t="str">
        <f>ОХ2021!B6</f>
        <v>МАДОУ ЦРР-детский сад № 11</v>
      </c>
      <c r="C7" s="358"/>
      <c r="D7" s="328">
        <f>'Налог на землю'!G8</f>
        <v>180004</v>
      </c>
      <c r="E7" s="327">
        <f>'Налог на имущество'!E5</f>
        <v>2554108</v>
      </c>
      <c r="F7" s="327">
        <f t="shared" ref="F7" si="0">ROUND((D7+E7)-((D7+E7)*C7),-2)</f>
        <v>2734100</v>
      </c>
      <c r="G7" s="772">
        <f t="shared" ref="G7:G15" si="1">D7+E7</f>
        <v>2734112</v>
      </c>
      <c r="H7" s="772">
        <f t="shared" ref="H7:H14" si="2">F7-G7</f>
        <v>-12</v>
      </c>
    </row>
    <row r="8" spans="1:8" x14ac:dyDescent="0.2">
      <c r="A8" s="318">
        <v>4</v>
      </c>
      <c r="B8" s="324" t="str">
        <f>ОХ2021!B7</f>
        <v>МАДОУ ЦРР-детский сад № 13</v>
      </c>
      <c r="C8" s="358">
        <f>Коэффициенты!Q7</f>
        <v>1E-3</v>
      </c>
      <c r="D8" s="328">
        <f>'Налог на землю'!G12</f>
        <v>195347</v>
      </c>
      <c r="E8" s="327">
        <f>'Налог на имущество'!E6</f>
        <v>153955</v>
      </c>
      <c r="F8" s="327">
        <f t="shared" ref="F8:F14" si="3">ROUND((D8+E8)-((D8+E8)*C8),-2)</f>
        <v>349000</v>
      </c>
      <c r="G8" s="772">
        <f t="shared" si="1"/>
        <v>349302</v>
      </c>
      <c r="H8" s="772">
        <f t="shared" si="2"/>
        <v>-302</v>
      </c>
    </row>
    <row r="9" spans="1:8" x14ac:dyDescent="0.2">
      <c r="A9" s="318">
        <v>6</v>
      </c>
      <c r="B9" s="324" t="str">
        <f>ОХ2021!B8</f>
        <v>МАОУ СОШ № 1 структурное подразделение</v>
      </c>
      <c r="C9" s="358"/>
      <c r="D9" s="328">
        <f>'Налог на землю'!G17</f>
        <v>137908</v>
      </c>
      <c r="E9" s="327">
        <f>'Налог на имущество'!E7</f>
        <v>186359</v>
      </c>
      <c r="F9" s="327">
        <f t="shared" si="3"/>
        <v>324300</v>
      </c>
      <c r="G9" s="772">
        <f t="shared" si="1"/>
        <v>324267</v>
      </c>
      <c r="H9" s="772">
        <f t="shared" si="2"/>
        <v>33</v>
      </c>
    </row>
    <row r="10" spans="1:8" ht="25.5" x14ac:dyDescent="0.2">
      <c r="A10" s="318">
        <v>7</v>
      </c>
      <c r="B10" s="324" t="str">
        <f>ОХ2021!B9</f>
        <v>МАОУ СОШ № 2 им.М.И.Грибушина структурное подразделение</v>
      </c>
      <c r="C10" s="358"/>
      <c r="D10" s="67">
        <f>'Налог на землю'!G19</f>
        <v>156283</v>
      </c>
      <c r="E10" s="327">
        <f>'Налог на имущество'!E8</f>
        <v>54594</v>
      </c>
      <c r="F10" s="327">
        <f t="shared" si="3"/>
        <v>210900</v>
      </c>
      <c r="G10" s="772">
        <f t="shared" si="1"/>
        <v>210877</v>
      </c>
      <c r="H10" s="772">
        <f t="shared" si="2"/>
        <v>23</v>
      </c>
    </row>
    <row r="11" spans="1:8" x14ac:dyDescent="0.2">
      <c r="A11" s="318">
        <v>9</v>
      </c>
      <c r="B11" s="324" t="str">
        <f>ОХ2021!B10</f>
        <v>МАОУ СОШ № 10 структурное подразделение</v>
      </c>
      <c r="C11" s="358"/>
      <c r="D11" s="328">
        <f>'Налог на землю'!G21</f>
        <v>83273</v>
      </c>
      <c r="E11" s="327">
        <f>'Налог на имущество'!E9</f>
        <v>57469</v>
      </c>
      <c r="F11" s="327">
        <f t="shared" si="3"/>
        <v>140700</v>
      </c>
      <c r="G11" s="772">
        <f t="shared" si="1"/>
        <v>140742</v>
      </c>
      <c r="H11" s="772">
        <f t="shared" si="2"/>
        <v>-42</v>
      </c>
    </row>
    <row r="12" spans="1:8" x14ac:dyDescent="0.2">
      <c r="A12" s="318">
        <v>12</v>
      </c>
      <c r="B12" s="324" t="str">
        <f>ОХ2021!B11</f>
        <v>МАОУ СОШ № 13 структурное подразделение</v>
      </c>
      <c r="C12" s="358"/>
      <c r="D12" s="328">
        <f>'Налог на землю'!G23</f>
        <v>77584</v>
      </c>
      <c r="E12" s="327">
        <f>'Налог на имущество'!E10</f>
        <v>299280</v>
      </c>
      <c r="F12" s="327">
        <f t="shared" si="3"/>
        <v>376900</v>
      </c>
      <c r="G12" s="772">
        <f t="shared" si="1"/>
        <v>376864</v>
      </c>
      <c r="H12" s="772">
        <f t="shared" si="2"/>
        <v>36</v>
      </c>
    </row>
    <row r="13" spans="1:8" x14ac:dyDescent="0.2">
      <c r="A13" s="318">
        <v>13</v>
      </c>
      <c r="B13" s="324" t="str">
        <f>ОХ2021!B12</f>
        <v>Гимназия № 16 структурное подразделение</v>
      </c>
      <c r="C13" s="358"/>
      <c r="D13" s="328">
        <f>'Налог на землю'!G24</f>
        <v>121832</v>
      </c>
      <c r="E13" s="327">
        <f>'Налог на имущество'!E11</f>
        <v>164248</v>
      </c>
      <c r="F13" s="327">
        <f t="shared" si="3"/>
        <v>286100</v>
      </c>
      <c r="G13" s="772">
        <f t="shared" si="1"/>
        <v>286080</v>
      </c>
      <c r="H13" s="772">
        <f t="shared" si="2"/>
        <v>20</v>
      </c>
    </row>
    <row r="14" spans="1:8" ht="26.25" thickBot="1" x14ac:dyDescent="0.25">
      <c r="A14" s="318">
        <v>14</v>
      </c>
      <c r="B14" s="324" t="str">
        <f>ОХ2021!B13</f>
        <v>МАОУ ООШ № 17 с кадетскими классами структурное подразделение</v>
      </c>
      <c r="C14" s="358"/>
      <c r="D14" s="67">
        <f>'Налог на землю'!G26</f>
        <v>38037</v>
      </c>
      <c r="E14" s="327">
        <f>'Налог на имущество'!E12</f>
        <v>0</v>
      </c>
      <c r="F14" s="327">
        <f t="shared" si="3"/>
        <v>38000</v>
      </c>
      <c r="G14" s="772">
        <f t="shared" si="1"/>
        <v>38037</v>
      </c>
      <c r="H14" s="772">
        <f t="shared" si="2"/>
        <v>-37</v>
      </c>
    </row>
    <row r="15" spans="1:8" ht="13.5" thickBot="1" x14ac:dyDescent="0.25">
      <c r="A15" s="33"/>
      <c r="B15" s="325" t="s">
        <v>1</v>
      </c>
      <c r="C15" s="325"/>
      <c r="D15" s="66">
        <f>SUM(D6:D14)</f>
        <v>1235435</v>
      </c>
      <c r="E15" s="66">
        <f>SUM(E6:E14)</f>
        <v>3686618</v>
      </c>
      <c r="F15" s="66">
        <f>SUM(F6:F14)</f>
        <v>4922000</v>
      </c>
      <c r="G15" s="772">
        <f t="shared" si="1"/>
        <v>4922053</v>
      </c>
      <c r="H15" s="788">
        <f>SUM(H6:H14)</f>
        <v>-53</v>
      </c>
    </row>
    <row r="17" spans="4:6" ht="13.5" thickBot="1" x14ac:dyDescent="0.25">
      <c r="D17" s="170">
        <f>'Налог на землю'!G27</f>
        <v>1235435</v>
      </c>
      <c r="E17" s="186">
        <f>'Налог на имущество'!E13</f>
        <v>3686618</v>
      </c>
      <c r="F17" s="170">
        <f>SUM(D17:E17)</f>
        <v>4922053</v>
      </c>
    </row>
    <row r="18" spans="4:6" ht="13.5" thickBot="1" x14ac:dyDescent="0.25">
      <c r="D18" s="789">
        <f>D17-D15</f>
        <v>0</v>
      </c>
      <c r="E18" s="790">
        <f>E17-E15</f>
        <v>0</v>
      </c>
      <c r="F18" s="791">
        <f>F17-F15</f>
        <v>53</v>
      </c>
    </row>
    <row r="19" spans="4:6" ht="13.5" thickBot="1" x14ac:dyDescent="0.25">
      <c r="F19" s="186">
        <f>'Налог на имущество'!G13+'Налог на землю'!G27</f>
        <v>4922053</v>
      </c>
    </row>
    <row r="20" spans="4:6" ht="13.5" thickBot="1" x14ac:dyDescent="0.25">
      <c r="F20" s="787">
        <f>F19-F15</f>
        <v>53</v>
      </c>
    </row>
  </sheetData>
  <mergeCells count="4">
    <mergeCell ref="A4:A5"/>
    <mergeCell ref="B4:B5"/>
    <mergeCell ref="D4:F4"/>
    <mergeCell ref="C4:C5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pageSetUpPr fitToPage="1"/>
  </sheetPr>
  <dimension ref="A1:AC13"/>
  <sheetViews>
    <sheetView zoomScale="110" zoomScaleNormal="110" workbookViewId="0">
      <pane xSplit="1" ySplit="3" topLeftCell="O4" activePane="bottomRight" state="frozen"/>
      <selection activeCell="AE14" sqref="AE14"/>
      <selection pane="topRight" activeCell="AE14" sqref="AE14"/>
      <selection pane="bottomLeft" activeCell="AE14" sqref="AE14"/>
      <selection pane="bottomRight" activeCell="AE14" sqref="AE14"/>
    </sheetView>
  </sheetViews>
  <sheetFormatPr defaultColWidth="9.140625" defaultRowHeight="12.75" x14ac:dyDescent="0.2"/>
  <cols>
    <col min="1" max="1" width="39.28515625" style="170" customWidth="1"/>
    <col min="2" max="2" width="13.42578125" style="170" customWidth="1"/>
    <col min="3" max="3" width="10.85546875" style="170" customWidth="1"/>
    <col min="4" max="4" width="14.5703125" style="170" customWidth="1"/>
    <col min="5" max="6" width="13.28515625" style="170" customWidth="1"/>
    <col min="7" max="7" width="9.28515625" style="170" customWidth="1"/>
    <col min="8" max="8" width="12.7109375" style="170" customWidth="1"/>
    <col min="9" max="9" width="12.85546875" style="170" customWidth="1"/>
    <col min="10" max="10" width="9.5703125" style="170" customWidth="1"/>
    <col min="11" max="11" width="16.140625" style="170" customWidth="1"/>
    <col min="12" max="12" width="14" style="170" customWidth="1"/>
    <col min="13" max="13" width="13.5703125" style="170" customWidth="1"/>
    <col min="14" max="14" width="9.28515625" style="170" customWidth="1"/>
    <col min="15" max="15" width="11.7109375" style="170" customWidth="1"/>
    <col min="16" max="16" width="13.140625" style="170" customWidth="1"/>
    <col min="17" max="17" width="16" style="170" customWidth="1"/>
    <col min="18" max="18" width="13.42578125" style="170" customWidth="1"/>
    <col min="19" max="20" width="12" style="170" customWidth="1"/>
    <col min="21" max="21" width="12.5703125" style="170" customWidth="1"/>
    <col min="22" max="22" width="13.5703125" style="170" customWidth="1"/>
    <col min="23" max="23" width="14.140625" style="170" customWidth="1"/>
    <col min="24" max="24" width="19" style="170" customWidth="1"/>
    <col min="25" max="25" width="13.140625" style="170" customWidth="1"/>
    <col min="26" max="26" width="10.28515625" style="170" customWidth="1"/>
    <col min="27" max="27" width="16.5703125" style="170" customWidth="1"/>
    <col min="28" max="16384" width="9.140625" style="170"/>
  </cols>
  <sheetData>
    <row r="1" spans="1:29" s="68" customFormat="1" x14ac:dyDescent="0.2">
      <c r="A1" s="411" t="s">
        <v>359</v>
      </c>
    </row>
    <row r="2" spans="1:29" ht="90" customHeight="1" x14ac:dyDescent="0.2">
      <c r="A2" s="1232" t="s">
        <v>180</v>
      </c>
      <c r="B2" s="1234" t="s">
        <v>194</v>
      </c>
      <c r="C2" s="1235"/>
      <c r="D2" s="1235"/>
      <c r="E2" s="1235"/>
      <c r="F2" s="1235"/>
      <c r="G2" s="1236"/>
      <c r="H2" s="1237" t="s">
        <v>195</v>
      </c>
      <c r="I2" s="1238"/>
      <c r="J2" s="1239"/>
      <c r="K2" s="1237" t="s">
        <v>196</v>
      </c>
      <c r="L2" s="1238"/>
      <c r="M2" s="1238"/>
      <c r="N2" s="1239"/>
      <c r="O2" s="1242" t="s">
        <v>197</v>
      </c>
      <c r="P2" s="1242" t="s">
        <v>198</v>
      </c>
      <c r="Q2" s="1242" t="s">
        <v>199</v>
      </c>
      <c r="R2" s="1243" t="s">
        <v>210</v>
      </c>
      <c r="S2" s="1244"/>
      <c r="T2" s="1244"/>
      <c r="U2" s="1244"/>
      <c r="V2" s="1244"/>
      <c r="W2" s="1244"/>
      <c r="X2" s="1244"/>
      <c r="Y2" s="1244"/>
      <c r="Z2" s="1245"/>
      <c r="AA2" s="1240" t="s">
        <v>215</v>
      </c>
    </row>
    <row r="3" spans="1:29" ht="115.5" customHeight="1" x14ac:dyDescent="0.2">
      <c r="A3" s="1233"/>
      <c r="B3" s="304" t="s">
        <v>201</v>
      </c>
      <c r="C3" s="304" t="s">
        <v>202</v>
      </c>
      <c r="D3" s="304" t="s">
        <v>203</v>
      </c>
      <c r="E3" s="304" t="s">
        <v>152</v>
      </c>
      <c r="F3" s="304" t="s">
        <v>392</v>
      </c>
      <c r="G3" s="304" t="s">
        <v>208</v>
      </c>
      <c r="H3" s="305" t="s">
        <v>205</v>
      </c>
      <c r="I3" s="305" t="s">
        <v>207</v>
      </c>
      <c r="J3" s="305" t="s">
        <v>208</v>
      </c>
      <c r="K3" s="305" t="s">
        <v>204</v>
      </c>
      <c r="L3" s="305" t="s">
        <v>174</v>
      </c>
      <c r="M3" s="305" t="s">
        <v>209</v>
      </c>
      <c r="N3" s="305" t="s">
        <v>208</v>
      </c>
      <c r="O3" s="1233"/>
      <c r="P3" s="1233"/>
      <c r="Q3" s="1233"/>
      <c r="R3" s="475" t="s">
        <v>357</v>
      </c>
      <c r="S3" s="475" t="s">
        <v>358</v>
      </c>
      <c r="T3" s="475" t="s">
        <v>644</v>
      </c>
      <c r="U3" s="305" t="s">
        <v>206</v>
      </c>
      <c r="V3" s="305" t="s">
        <v>394</v>
      </c>
      <c r="W3" s="305" t="s">
        <v>384</v>
      </c>
      <c r="X3" s="305" t="s">
        <v>385</v>
      </c>
      <c r="Y3" s="305" t="s">
        <v>213</v>
      </c>
      <c r="Z3" s="305" t="s">
        <v>208</v>
      </c>
      <c r="AA3" s="1241"/>
    </row>
    <row r="4" spans="1:29" ht="46.15" customHeight="1" x14ac:dyDescent="0.2">
      <c r="A4" s="331" t="str">
        <f>Численность!B4</f>
        <v>Реализация основных общеобразовательных программ дошкольного образования От 1 года до 3 лет Очная группа полного дня</v>
      </c>
      <c r="B4" s="289">
        <f>Электроэнергия!P16</f>
        <v>2495.87</v>
      </c>
      <c r="C4" s="289">
        <f>Тепло!P16</f>
        <v>5198.43</v>
      </c>
      <c r="D4" s="289">
        <f>Водопотребление!P16</f>
        <v>408.55</v>
      </c>
      <c r="E4" s="289">
        <f>Водоотведение!P16</f>
        <v>367.67</v>
      </c>
      <c r="F4" s="289">
        <f>ТКО!N16</f>
        <v>117.7</v>
      </c>
      <c r="G4" s="306">
        <f>SUM(B4:F4)</f>
        <v>8588.2200000000012</v>
      </c>
      <c r="H4" s="289">
        <f>'Дератизация, дезинсекция'!S19</f>
        <v>70.09</v>
      </c>
      <c r="I4" s="289">
        <f>Аутсорсинг!P22</f>
        <v>420.57</v>
      </c>
      <c r="J4" s="306">
        <f>SUM(H4:I4)</f>
        <v>490.65999999999997</v>
      </c>
      <c r="K4" s="289">
        <f>'Обслуживание АПС'!G21</f>
        <v>112.19</v>
      </c>
      <c r="L4" s="289">
        <f>'Стрелец- мониторинг'!H28</f>
        <v>41.15</v>
      </c>
      <c r="M4" s="289">
        <f>'Заправка огнетушителей'!K15</f>
        <v>5.54</v>
      </c>
      <c r="N4" s="306">
        <f>SUM(K4:M4)</f>
        <v>158.88</v>
      </c>
      <c r="O4" s="306">
        <f>'Услуги связи'!Q16</f>
        <v>393.6</v>
      </c>
      <c r="P4" s="306"/>
      <c r="Q4" s="306"/>
      <c r="R4" s="117">
        <f>'Обслуживание КТС'!G29</f>
        <v>10.46</v>
      </c>
      <c r="S4" s="117">
        <f>'Абон. плата охраны по КТС'!G31</f>
        <v>12.88</v>
      </c>
      <c r="T4" s="117">
        <f>Охрана!G29</f>
        <v>50.98</v>
      </c>
      <c r="U4" s="289">
        <f>'Лабораторные исследования'!F14</f>
        <v>78.59</v>
      </c>
      <c r="V4" s="289">
        <f>'Программный продукт'!G14</f>
        <v>20.62</v>
      </c>
      <c r="W4" s="289">
        <f>Подписка!E18</f>
        <v>60.95</v>
      </c>
      <c r="X4" s="289">
        <f>Канцтовары!E33</f>
        <v>38.229999999999997</v>
      </c>
      <c r="Y4" s="289">
        <f>Хозрасходы!E13</f>
        <v>340.58</v>
      </c>
      <c r="Z4" s="306">
        <f>SUM(R4:Y4)</f>
        <v>613.29</v>
      </c>
      <c r="AA4" s="308">
        <f>G4+J4+N4+O4+P4+Q4+Z4</f>
        <v>10244.650000000001</v>
      </c>
      <c r="AC4" s="186"/>
    </row>
    <row r="5" spans="1:29" ht="49.9" customHeight="1" x14ac:dyDescent="0.2">
      <c r="A5" s="332" t="str">
        <f>Численность!C4</f>
        <v>Реализация основных общеобразовательных программ дошкольного образования От 3 лет до 8 лет Очная группа полного дня</v>
      </c>
      <c r="B5" s="289">
        <f>B4</f>
        <v>2495.87</v>
      </c>
      <c r="C5" s="289">
        <f>C4</f>
        <v>5198.43</v>
      </c>
      <c r="D5" s="289">
        <f>D4</f>
        <v>408.55</v>
      </c>
      <c r="E5" s="289">
        <f>E4</f>
        <v>367.67</v>
      </c>
      <c r="F5" s="289">
        <f>F4</f>
        <v>117.7</v>
      </c>
      <c r="G5" s="306">
        <f t="shared" ref="G5:G8" si="0">SUM(B5:F5)</f>
        <v>8588.2200000000012</v>
      </c>
      <c r="H5" s="289">
        <f t="shared" ref="H5:I6" si="1">H4</f>
        <v>70.09</v>
      </c>
      <c r="I5" s="289">
        <f t="shared" si="1"/>
        <v>420.57</v>
      </c>
      <c r="J5" s="306">
        <f t="shared" ref="J5:J8" si="2">SUM(H5:I5)</f>
        <v>490.65999999999997</v>
      </c>
      <c r="K5" s="289">
        <f t="shared" ref="K5:M6" si="3">K4</f>
        <v>112.19</v>
      </c>
      <c r="L5" s="289">
        <f t="shared" si="3"/>
        <v>41.15</v>
      </c>
      <c r="M5" s="289">
        <f t="shared" si="3"/>
        <v>5.54</v>
      </c>
      <c r="N5" s="306">
        <f t="shared" ref="N5:N8" si="4">SUM(K5:M5)</f>
        <v>158.88</v>
      </c>
      <c r="O5" s="306">
        <f>O4</f>
        <v>393.6</v>
      </c>
      <c r="P5" s="306"/>
      <c r="Q5" s="306"/>
      <c r="R5" s="289">
        <f t="shared" ref="R5:X6" si="5">R4</f>
        <v>10.46</v>
      </c>
      <c r="S5" s="289">
        <f>S4</f>
        <v>12.88</v>
      </c>
      <c r="T5" s="289">
        <f>T4</f>
        <v>50.98</v>
      </c>
      <c r="U5" s="289">
        <f t="shared" si="5"/>
        <v>78.59</v>
      </c>
      <c r="V5" s="289">
        <f t="shared" si="5"/>
        <v>20.62</v>
      </c>
      <c r="W5" s="289">
        <f t="shared" si="5"/>
        <v>60.95</v>
      </c>
      <c r="X5" s="289">
        <f t="shared" si="5"/>
        <v>38.229999999999997</v>
      </c>
      <c r="Y5" s="289">
        <f>Хозрасходы!K13</f>
        <v>248.89</v>
      </c>
      <c r="Z5" s="306">
        <f>SUM(R5:Y5)</f>
        <v>521.6</v>
      </c>
      <c r="AA5" s="308">
        <f>G5+J5+N5+O5+P5+Q5+Z5</f>
        <v>10152.960000000001</v>
      </c>
    </row>
    <row r="6" spans="1:29" ht="73.900000000000006" customHeight="1" x14ac:dyDescent="0.2">
      <c r="A6" s="332" t="str">
        <f>Численность!G4</f>
        <v>Реализация основных общеобразовательных программ дошкольного образования Обучающиеся с ограниченными возможностями здоровья (ОВЗ) От 1 года до 3 лет Очная группа полного дня</v>
      </c>
      <c r="B6" s="289">
        <f>B5</f>
        <v>2495.87</v>
      </c>
      <c r="C6" s="289">
        <f t="shared" ref="C6:E6" si="6">C5</f>
        <v>5198.43</v>
      </c>
      <c r="D6" s="289">
        <f t="shared" si="6"/>
        <v>408.55</v>
      </c>
      <c r="E6" s="289">
        <f t="shared" si="6"/>
        <v>367.67</v>
      </c>
      <c r="F6" s="289">
        <f>F5</f>
        <v>117.7</v>
      </c>
      <c r="G6" s="306">
        <f t="shared" si="0"/>
        <v>8588.2200000000012</v>
      </c>
      <c r="H6" s="289">
        <f t="shared" si="1"/>
        <v>70.09</v>
      </c>
      <c r="I6" s="289">
        <f t="shared" si="1"/>
        <v>420.57</v>
      </c>
      <c r="J6" s="306">
        <f t="shared" si="2"/>
        <v>490.65999999999997</v>
      </c>
      <c r="K6" s="289">
        <f t="shared" si="3"/>
        <v>112.19</v>
      </c>
      <c r="L6" s="289">
        <f t="shared" si="3"/>
        <v>41.15</v>
      </c>
      <c r="M6" s="289">
        <f t="shared" si="3"/>
        <v>5.54</v>
      </c>
      <c r="N6" s="306">
        <f t="shared" si="4"/>
        <v>158.88</v>
      </c>
      <c r="O6" s="306">
        <f>O5</f>
        <v>393.6</v>
      </c>
      <c r="P6" s="306"/>
      <c r="Q6" s="306"/>
      <c r="R6" s="289">
        <f t="shared" si="5"/>
        <v>10.46</v>
      </c>
      <c r="S6" s="289">
        <f>S5</f>
        <v>12.88</v>
      </c>
      <c r="T6" s="289">
        <f>T5</f>
        <v>50.98</v>
      </c>
      <c r="U6" s="289">
        <f t="shared" si="5"/>
        <v>78.59</v>
      </c>
      <c r="V6" s="289">
        <f t="shared" si="5"/>
        <v>20.62</v>
      </c>
      <c r="W6" s="289">
        <f t="shared" si="5"/>
        <v>60.95</v>
      </c>
      <c r="X6" s="289">
        <f t="shared" si="5"/>
        <v>38.229999999999997</v>
      </c>
      <c r="Y6" s="289">
        <f>Y4</f>
        <v>340.58</v>
      </c>
      <c r="Z6" s="306">
        <f>SUM(R6:Y6)</f>
        <v>613.29</v>
      </c>
      <c r="AA6" s="308">
        <f>G6+J6+N6+O6+P6+Q6+Z6</f>
        <v>10244.650000000001</v>
      </c>
      <c r="AB6" s="186"/>
    </row>
    <row r="7" spans="1:29" ht="76.150000000000006" customHeight="1" x14ac:dyDescent="0.2">
      <c r="A7" s="332" t="str">
        <f>Численность!H4</f>
        <v>Реализация основных общеобразовательных программ дошкольного образования Обучающиеся с ограниченными возможностями здоровья (ОВЗ) От 3 лет до 8 лет Очная группа полного дня</v>
      </c>
      <c r="B7" s="289">
        <f>B4</f>
        <v>2495.87</v>
      </c>
      <c r="C7" s="289">
        <f>C4</f>
        <v>5198.43</v>
      </c>
      <c r="D7" s="289">
        <f>D4</f>
        <v>408.55</v>
      </c>
      <c r="E7" s="289">
        <f>E4</f>
        <v>367.67</v>
      </c>
      <c r="F7" s="289">
        <f>F4</f>
        <v>117.7</v>
      </c>
      <c r="G7" s="306">
        <f t="shared" si="0"/>
        <v>8588.2200000000012</v>
      </c>
      <c r="H7" s="289">
        <f>H4</f>
        <v>70.09</v>
      </c>
      <c r="I7" s="289">
        <f>I4</f>
        <v>420.57</v>
      </c>
      <c r="J7" s="306">
        <f t="shared" si="2"/>
        <v>490.65999999999997</v>
      </c>
      <c r="K7" s="289">
        <f>K4</f>
        <v>112.19</v>
      </c>
      <c r="L7" s="289">
        <f>L4</f>
        <v>41.15</v>
      </c>
      <c r="M7" s="289">
        <f>M4</f>
        <v>5.54</v>
      </c>
      <c r="N7" s="306">
        <f t="shared" si="4"/>
        <v>158.88</v>
      </c>
      <c r="O7" s="306">
        <f>O4</f>
        <v>393.6</v>
      </c>
      <c r="P7" s="306"/>
      <c r="Q7" s="306"/>
      <c r="R7" s="289">
        <f t="shared" ref="R7:X7" si="7">R4</f>
        <v>10.46</v>
      </c>
      <c r="S7" s="289">
        <f t="shared" si="7"/>
        <v>12.88</v>
      </c>
      <c r="T7" s="289">
        <f t="shared" ref="T7" si="8">T4</f>
        <v>50.98</v>
      </c>
      <c r="U7" s="289">
        <f t="shared" si="7"/>
        <v>78.59</v>
      </c>
      <c r="V7" s="289">
        <f t="shared" si="7"/>
        <v>20.62</v>
      </c>
      <c r="W7" s="289">
        <f t="shared" si="7"/>
        <v>60.95</v>
      </c>
      <c r="X7" s="289">
        <f t="shared" si="7"/>
        <v>38.229999999999997</v>
      </c>
      <c r="Y7" s="289">
        <f>Y5</f>
        <v>248.89</v>
      </c>
      <c r="Z7" s="306">
        <f>SUM(R7:Y7)</f>
        <v>521.6</v>
      </c>
      <c r="AA7" s="308">
        <f>G7+J7+N7+O7+P7+Q7+Z7</f>
        <v>10152.960000000001</v>
      </c>
    </row>
    <row r="8" spans="1:29" ht="86.45" customHeight="1" x14ac:dyDescent="0.2">
      <c r="A8" s="332" t="str">
        <f>Численность!I4</f>
        <v>Реализация основных общеобразовательных программ дошкольного образования Адаптированная образовательная программа От 3 лет до 8 лет Очная группа полного дня</v>
      </c>
      <c r="B8" s="289">
        <f>B4</f>
        <v>2495.87</v>
      </c>
      <c r="C8" s="289">
        <f>C4</f>
        <v>5198.43</v>
      </c>
      <c r="D8" s="289">
        <f>D4</f>
        <v>408.55</v>
      </c>
      <c r="E8" s="289">
        <f>E4</f>
        <v>367.67</v>
      </c>
      <c r="F8" s="289">
        <f>F4</f>
        <v>117.7</v>
      </c>
      <c r="G8" s="306">
        <f t="shared" si="0"/>
        <v>8588.2200000000012</v>
      </c>
      <c r="H8" s="289">
        <f>H4</f>
        <v>70.09</v>
      </c>
      <c r="I8" s="289">
        <f>I4</f>
        <v>420.57</v>
      </c>
      <c r="J8" s="306">
        <f t="shared" si="2"/>
        <v>490.65999999999997</v>
      </c>
      <c r="K8" s="289">
        <f>K4</f>
        <v>112.19</v>
      </c>
      <c r="L8" s="289">
        <f>L4</f>
        <v>41.15</v>
      </c>
      <c r="M8" s="289">
        <f>M4</f>
        <v>5.54</v>
      </c>
      <c r="N8" s="306">
        <f t="shared" si="4"/>
        <v>158.88</v>
      </c>
      <c r="O8" s="306">
        <f>O4</f>
        <v>393.6</v>
      </c>
      <c r="P8" s="306"/>
      <c r="Q8" s="306"/>
      <c r="R8" s="289">
        <f t="shared" ref="R8:X8" si="9">R4</f>
        <v>10.46</v>
      </c>
      <c r="S8" s="289">
        <f t="shared" si="9"/>
        <v>12.88</v>
      </c>
      <c r="T8" s="289">
        <f t="shared" ref="T8" si="10">T4</f>
        <v>50.98</v>
      </c>
      <c r="U8" s="289">
        <f t="shared" si="9"/>
        <v>78.59</v>
      </c>
      <c r="V8" s="289">
        <f t="shared" si="9"/>
        <v>20.62</v>
      </c>
      <c r="W8" s="289">
        <f t="shared" si="9"/>
        <v>60.95</v>
      </c>
      <c r="X8" s="289">
        <f t="shared" si="9"/>
        <v>38.229999999999997</v>
      </c>
      <c r="Y8" s="289">
        <f>Y7</f>
        <v>248.89</v>
      </c>
      <c r="Z8" s="306">
        <f>SUM(R8:Y8)</f>
        <v>521.6</v>
      </c>
      <c r="AA8" s="308">
        <f>G8+J8+N8+O8+P8+Q8+Z8</f>
        <v>10152.960000000001</v>
      </c>
    </row>
    <row r="10" spans="1:29" x14ac:dyDescent="0.2">
      <c r="B10" s="186">
        <f>Электроэнергия!P16</f>
        <v>2495.87</v>
      </c>
      <c r="C10" s="186">
        <f>Тепло!P16</f>
        <v>5198.43</v>
      </c>
      <c r="D10" s="186">
        <f>Водопотребление!P16</f>
        <v>408.55</v>
      </c>
      <c r="E10" s="186">
        <f>Водоотведение!P16</f>
        <v>367.67</v>
      </c>
      <c r="F10" s="186">
        <f>ТКО!N16</f>
        <v>117.7</v>
      </c>
      <c r="H10" s="186">
        <f>'Дератизация, дезинсекция'!S19</f>
        <v>70.09</v>
      </c>
      <c r="I10" s="186">
        <f>Аутсорсинг!P22</f>
        <v>420.57</v>
      </c>
      <c r="K10" s="186">
        <f>'Обслуживание АПС'!G21</f>
        <v>112.19</v>
      </c>
      <c r="L10" s="186">
        <f>'Стрелец- мониторинг'!H28</f>
        <v>41.15</v>
      </c>
      <c r="M10" s="186">
        <f>'Заправка огнетушителей'!K15</f>
        <v>5.54</v>
      </c>
      <c r="O10" s="186">
        <f>'Услуги связи'!Q16</f>
        <v>393.6</v>
      </c>
      <c r="R10" s="186">
        <f>'Обслуживание КТС'!G29</f>
        <v>10.46</v>
      </c>
      <c r="S10" s="186">
        <f>'Абон. плата охраны по КТС'!G31</f>
        <v>12.88</v>
      </c>
      <c r="T10" s="186">
        <f>Охрана!G29</f>
        <v>50.98</v>
      </c>
      <c r="U10" s="186">
        <f>'Лабораторные исследования'!F14</f>
        <v>78.59</v>
      </c>
      <c r="V10" s="186">
        <f>'Программный продукт'!G14</f>
        <v>20.62</v>
      </c>
      <c r="W10" s="186">
        <f>Подписка!E18</f>
        <v>60.95</v>
      </c>
      <c r="X10" s="186">
        <f>Канцтовары!E33</f>
        <v>38.229999999999997</v>
      </c>
      <c r="Y10" s="792">
        <f>Хозрасходы!E13+Хозрасходы!K13</f>
        <v>589.47</v>
      </c>
      <c r="AA10" s="186">
        <f>'Услуги связи'!Q16+Электроэнергия!P16+Тепло!P16+Водопотребление!P16+Водоотведение!P16+Жбо!P11+Выгреб!P11+ТКО!N16+'Дератизация, дезинсекция'!S19+'Заправка огнетушителей'!K15+Охрана!G29+'Обслуживание КТС'!G29+'Обслуживание АПС'!G21+Аутсорсинг!P22+'Стрелец- мониторинг'!H28+'Лабораторные исследования'!F14+'Абон. плата охраны по КТС'!G31+'Программный продукт'!G14+Подписка!E18+Канцтовары!E34+Хозрасходы!E13+Моющие!E23</f>
        <v>11467.69</v>
      </c>
    </row>
    <row r="11" spans="1:29" x14ac:dyDescent="0.2">
      <c r="B11" s="186">
        <f>B10-B8</f>
        <v>0</v>
      </c>
      <c r="C11" s="186">
        <f t="shared" ref="C11:V11" si="11">C10-C8</f>
        <v>0</v>
      </c>
      <c r="D11" s="186">
        <f t="shared" si="11"/>
        <v>0</v>
      </c>
      <c r="E11" s="186">
        <f t="shared" si="11"/>
        <v>0</v>
      </c>
      <c r="F11" s="186">
        <f t="shared" si="11"/>
        <v>0</v>
      </c>
      <c r="G11" s="186"/>
      <c r="H11" s="186">
        <f t="shared" si="11"/>
        <v>0</v>
      </c>
      <c r="I11" s="186">
        <f t="shared" si="11"/>
        <v>0</v>
      </c>
      <c r="J11" s="186"/>
      <c r="K11" s="186">
        <f t="shared" si="11"/>
        <v>0</v>
      </c>
      <c r="L11" s="186">
        <f t="shared" si="11"/>
        <v>0</v>
      </c>
      <c r="M11" s="186">
        <f t="shared" si="11"/>
        <v>0</v>
      </c>
      <c r="N11" s="186"/>
      <c r="O11" s="186">
        <f t="shared" si="11"/>
        <v>0</v>
      </c>
      <c r="P11" s="186">
        <f t="shared" si="11"/>
        <v>0</v>
      </c>
      <c r="Q11" s="186">
        <f t="shared" si="11"/>
        <v>0</v>
      </c>
      <c r="R11" s="186">
        <f>R10-R8</f>
        <v>0</v>
      </c>
      <c r="S11" s="186">
        <f t="shared" si="11"/>
        <v>0</v>
      </c>
      <c r="T11" s="186">
        <f t="shared" si="11"/>
        <v>0</v>
      </c>
      <c r="U11" s="186">
        <f t="shared" si="11"/>
        <v>0</v>
      </c>
      <c r="V11" s="186">
        <f t="shared" si="11"/>
        <v>0</v>
      </c>
      <c r="W11" s="186">
        <f>W10-W8</f>
        <v>0</v>
      </c>
      <c r="X11" s="186">
        <f>X10-X8</f>
        <v>0</v>
      </c>
      <c r="Y11" s="186">
        <f>Y8+Y6-Y10</f>
        <v>0</v>
      </c>
      <c r="Z11" s="186"/>
      <c r="AA11" s="186">
        <f>AA10-AA4</f>
        <v>1223.0399999999991</v>
      </c>
    </row>
    <row r="12" spans="1:29" x14ac:dyDescent="0.2">
      <c r="Y12" s="792">
        <f>Хозрасходы!E13+Хозрасходы!K13</f>
        <v>589.47</v>
      </c>
    </row>
    <row r="13" spans="1:29" x14ac:dyDescent="0.2">
      <c r="C13" s="569"/>
      <c r="Y13" s="792">
        <f>Y12-Y10</f>
        <v>0</v>
      </c>
    </row>
  </sheetData>
  <mergeCells count="9">
    <mergeCell ref="A2:A3"/>
    <mergeCell ref="B2:G2"/>
    <mergeCell ref="K2:N2"/>
    <mergeCell ref="AA2:AA3"/>
    <mergeCell ref="H2:J2"/>
    <mergeCell ref="O2:O3"/>
    <mergeCell ref="P2:P3"/>
    <mergeCell ref="Q2:Q3"/>
    <mergeCell ref="R2:Z2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/>
  <dimension ref="A1:G12"/>
  <sheetViews>
    <sheetView zoomScale="110" zoomScaleNormal="110" workbookViewId="0">
      <selection activeCell="AE14" sqref="AE14"/>
    </sheetView>
  </sheetViews>
  <sheetFormatPr defaultColWidth="9.140625" defaultRowHeight="12.75" x14ac:dyDescent="0.2"/>
  <cols>
    <col min="1" max="1" width="39.28515625" style="170" customWidth="1"/>
    <col min="2" max="2" width="14" style="170" customWidth="1"/>
    <col min="3" max="3" width="17.28515625" style="170" customWidth="1"/>
    <col min="4" max="4" width="16.5703125" style="170" customWidth="1"/>
    <col min="5" max="16384" width="9.140625" style="170"/>
  </cols>
  <sheetData>
    <row r="1" spans="1:7" s="68" customFormat="1" x14ac:dyDescent="0.2">
      <c r="A1" s="411" t="s">
        <v>359</v>
      </c>
    </row>
    <row r="2" spans="1:7" ht="90" customHeight="1" x14ac:dyDescent="0.2">
      <c r="A2" s="1232" t="s">
        <v>180</v>
      </c>
      <c r="B2" s="1242" t="s">
        <v>242</v>
      </c>
      <c r="C2" s="1242" t="s">
        <v>200</v>
      </c>
      <c r="D2" s="1240" t="s">
        <v>215</v>
      </c>
    </row>
    <row r="3" spans="1:7" ht="88.5" customHeight="1" x14ac:dyDescent="0.2">
      <c r="A3" s="1233"/>
      <c r="B3" s="1233"/>
      <c r="C3" s="1233"/>
      <c r="D3" s="1241"/>
    </row>
    <row r="4" spans="1:7" ht="43.9" customHeight="1" x14ac:dyDescent="0.2">
      <c r="A4" s="333" t="str">
        <f>Численность!O4</f>
        <v>Присмотр и уход Дети-сироты и дети, оставшиеся без попечения родителей От 1 года до 3 лет группа полного дня</v>
      </c>
      <c r="B4" s="155">
        <f>'Питание норматив'!H40+'Мягкий инвентарь'!G12</f>
        <v>30162.2</v>
      </c>
      <c r="C4" s="155">
        <f>Моющие!E23</f>
        <v>695.3599999999999</v>
      </c>
      <c r="D4" s="308">
        <f t="shared" ref="D4:D12" si="0">SUM(B4:C4)</f>
        <v>30857.56</v>
      </c>
      <c r="F4" s="186">
        <f>'Питание норматив'!H40+Моющие!E23+'Мягкий инвентарь'!G12</f>
        <v>30857.56</v>
      </c>
      <c r="G4" s="186">
        <f>D4-F4</f>
        <v>0</v>
      </c>
    </row>
    <row r="5" spans="1:7" ht="49.15" customHeight="1" x14ac:dyDescent="0.2">
      <c r="A5" s="333" t="str">
        <f>Численность!J4</f>
        <v>Присмотр и уход Физические лица за исключением льготных категорий От 1 года до 3 лет группа полного дня</v>
      </c>
      <c r="B5" s="155">
        <f t="shared" ref="B5:C7" si="1">B4</f>
        <v>30162.2</v>
      </c>
      <c r="C5" s="155">
        <f t="shared" si="1"/>
        <v>695.3599999999999</v>
      </c>
      <c r="D5" s="308">
        <f t="shared" si="0"/>
        <v>30857.56</v>
      </c>
    </row>
    <row r="6" spans="1:7" ht="49.15" customHeight="1" x14ac:dyDescent="0.2">
      <c r="A6" s="333" t="str">
        <f>Численность!U4</f>
        <v>Присмотр и уход Физические лица льготных категорий, определяемых учредителем От 3 лет до 8 лет группа полного дня</v>
      </c>
      <c r="B6" s="155">
        <f t="shared" si="1"/>
        <v>30162.2</v>
      </c>
      <c r="C6" s="155">
        <f t="shared" si="1"/>
        <v>695.3599999999999</v>
      </c>
      <c r="D6" s="308">
        <f t="shared" si="0"/>
        <v>30857.56</v>
      </c>
    </row>
    <row r="7" spans="1:7" ht="49.15" customHeight="1" x14ac:dyDescent="0.2">
      <c r="A7" s="333" t="str">
        <f>Численность!Q4</f>
        <v>Присмотр и уход Дети-инвалиды От 1 лет до 3 лет группа полного дня</v>
      </c>
      <c r="B7" s="155">
        <f t="shared" si="1"/>
        <v>30162.2</v>
      </c>
      <c r="C7" s="155">
        <f t="shared" si="1"/>
        <v>695.3599999999999</v>
      </c>
      <c r="D7" s="308">
        <f t="shared" si="0"/>
        <v>30857.56</v>
      </c>
    </row>
    <row r="8" spans="1:7" ht="43.9" customHeight="1" x14ac:dyDescent="0.2">
      <c r="A8" s="333" t="e">
        <f>Численность!#REF!</f>
        <v>#REF!</v>
      </c>
      <c r="B8" s="155">
        <f>'Питание норматив'!K40+'Мягкий инвентарь'!G12</f>
        <v>35596.199999999997</v>
      </c>
      <c r="C8" s="155">
        <f>Моющие!K23</f>
        <v>534.89</v>
      </c>
      <c r="D8" s="308">
        <f t="shared" si="0"/>
        <v>36131.089999999997</v>
      </c>
      <c r="F8" s="186">
        <f>'Питание норматив'!K40+'Мягкий инвентарь'!G12+Моющие!K23</f>
        <v>36131.089999999997</v>
      </c>
      <c r="G8" s="186">
        <f>D8-F8</f>
        <v>0</v>
      </c>
    </row>
    <row r="9" spans="1:7" ht="44.45" customHeight="1" x14ac:dyDescent="0.2">
      <c r="A9" s="333" t="str">
        <f>Численность!S4</f>
        <v>Присмотр и уход Дети с туберкулезной интоксикацией От 3 лет до 8 лет группа полного дня</v>
      </c>
      <c r="B9" s="155">
        <f>B8</f>
        <v>35596.199999999997</v>
      </c>
      <c r="C9" s="155">
        <f>C8</f>
        <v>534.89</v>
      </c>
      <c r="D9" s="308">
        <f t="shared" si="0"/>
        <v>36131.089999999997</v>
      </c>
    </row>
    <row r="10" spans="1:7" ht="50.45" customHeight="1" x14ac:dyDescent="0.2">
      <c r="A10" s="333" t="str">
        <f>Численность!P4</f>
        <v>Присмотр и уход Дети-сироты и дети, оставшиеся без попечения родителей От 3 лет до 8 лет группа полного дня</v>
      </c>
      <c r="B10" s="155">
        <f>B8</f>
        <v>35596.199999999997</v>
      </c>
      <c r="C10" s="155">
        <f>C8</f>
        <v>534.89</v>
      </c>
      <c r="D10" s="308">
        <f>SUM(B10:C10)</f>
        <v>36131.089999999997</v>
      </c>
    </row>
    <row r="11" spans="1:7" ht="33" customHeight="1" x14ac:dyDescent="0.2">
      <c r="A11" s="333" t="str">
        <f>Численность!R4</f>
        <v>Присмотр и уход Дети-инвалиды От 3 лет до 8 лет группа полного дня</v>
      </c>
      <c r="B11" s="155">
        <f>B8</f>
        <v>35596.199999999997</v>
      </c>
      <c r="C11" s="155">
        <f>C8</f>
        <v>534.89</v>
      </c>
      <c r="D11" s="308">
        <f t="shared" si="0"/>
        <v>36131.089999999997</v>
      </c>
    </row>
    <row r="12" spans="1:7" ht="46.15" customHeight="1" x14ac:dyDescent="0.2">
      <c r="A12" s="333" t="str">
        <f>Численность!K4</f>
        <v>Присмотр и уход Физические лица за исключением льготных категорий От 3 лет до 8 лет группа полного дня</v>
      </c>
      <c r="B12" s="155">
        <f>B8</f>
        <v>35596.199999999997</v>
      </c>
      <c r="C12" s="155">
        <f>C8</f>
        <v>534.89</v>
      </c>
      <c r="D12" s="308">
        <f t="shared" si="0"/>
        <v>36131.089999999997</v>
      </c>
    </row>
  </sheetData>
  <mergeCells count="4">
    <mergeCell ref="D2:D3"/>
    <mergeCell ref="B2:B3"/>
    <mergeCell ref="C2:C3"/>
    <mergeCell ref="A2:A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R23"/>
  <sheetViews>
    <sheetView zoomScale="110" zoomScaleNormal="110" workbookViewId="0">
      <selection activeCell="I22" sqref="I22"/>
    </sheetView>
  </sheetViews>
  <sheetFormatPr defaultRowHeight="12.75" x14ac:dyDescent="0.2"/>
  <cols>
    <col min="1" max="1" width="42.7109375" style="14" customWidth="1"/>
    <col min="2" max="2" width="12.7109375" style="14" customWidth="1"/>
    <col min="3" max="3" width="14.28515625" style="49" customWidth="1"/>
    <col min="4" max="4" width="14.7109375" style="49" customWidth="1"/>
    <col min="5" max="5" width="14.5703125" style="49" customWidth="1"/>
    <col min="6" max="7" width="9.140625" style="14" customWidth="1"/>
    <col min="8" max="8" width="9.5703125" style="14" customWidth="1"/>
    <col min="9" max="9" width="9.7109375" style="14" customWidth="1"/>
    <col min="10" max="10" width="12" style="14" customWidth="1"/>
    <col min="11" max="11" width="11.5703125" style="14" customWidth="1"/>
    <col min="12" max="12" width="11.85546875" style="14" bestFit="1" customWidth="1"/>
    <col min="13" max="13" width="9.7109375" style="14" customWidth="1"/>
    <col min="14" max="14" width="9.42578125" style="14" customWidth="1"/>
    <col min="15" max="15" width="16.28515625" style="14" customWidth="1"/>
    <col min="16" max="18" width="13.42578125" style="14" customWidth="1"/>
    <col min="19" max="20" width="15" style="14" customWidth="1"/>
    <col min="21" max="21" width="15.85546875" style="14" customWidth="1"/>
    <col min="22" max="240" width="9.140625" style="14"/>
    <col min="241" max="241" width="20.7109375" style="14" customWidth="1"/>
    <col min="242" max="242" width="15.7109375" style="14" customWidth="1"/>
    <col min="243" max="243" width="14.28515625" style="14" customWidth="1"/>
    <col min="244" max="244" width="13.85546875" style="14" customWidth="1"/>
    <col min="245" max="245" width="14.5703125" style="14" customWidth="1"/>
    <col min="246" max="247" width="9.140625" style="14" customWidth="1"/>
    <col min="248" max="248" width="9.5703125" style="14" customWidth="1"/>
    <col min="249" max="249" width="9.7109375" style="14" customWidth="1"/>
    <col min="250" max="250" width="16.28515625" style="14" customWidth="1"/>
    <col min="251" max="251" width="16.140625" style="14" customWidth="1"/>
    <col min="252" max="252" width="15.7109375" style="14" customWidth="1"/>
    <col min="253" max="255" width="18" style="14" customWidth="1"/>
    <col min="256" max="256" width="15.85546875" style="14" customWidth="1"/>
    <col min="257" max="257" width="14.42578125" style="14" customWidth="1"/>
    <col min="258" max="260" width="15.28515625" style="14" customWidth="1"/>
    <col min="261" max="261" width="18.28515625" style="14" customWidth="1"/>
    <col min="262" max="262" width="15.5703125" style="14" customWidth="1"/>
    <col min="263" max="263" width="14.7109375" style="14" bestFit="1" customWidth="1"/>
    <col min="264" max="264" width="15.7109375" style="14" customWidth="1"/>
    <col min="265" max="266" width="15.28515625" style="14" customWidth="1"/>
    <col min="267" max="267" width="18.28515625" style="14" customWidth="1"/>
    <col min="268" max="268" width="15.5703125" style="14" customWidth="1"/>
    <col min="269" max="269" width="14.7109375" style="14" bestFit="1" customWidth="1"/>
    <col min="270" max="270" width="18.7109375" style="14" customWidth="1"/>
    <col min="271" max="272" width="15.28515625" style="14" customWidth="1"/>
    <col min="273" max="273" width="18.28515625" style="14" customWidth="1"/>
    <col min="274" max="274" width="15.85546875" style="14" bestFit="1" customWidth="1"/>
    <col min="275" max="275" width="14.7109375" style="14" bestFit="1" customWidth="1"/>
    <col min="276" max="496" width="9.140625" style="14"/>
    <col min="497" max="497" width="20.7109375" style="14" customWidth="1"/>
    <col min="498" max="498" width="15.7109375" style="14" customWidth="1"/>
    <col min="499" max="499" width="14.28515625" style="14" customWidth="1"/>
    <col min="500" max="500" width="13.85546875" style="14" customWidth="1"/>
    <col min="501" max="501" width="14.5703125" style="14" customWidth="1"/>
    <col min="502" max="503" width="9.140625" style="14" customWidth="1"/>
    <col min="504" max="504" width="9.5703125" style="14" customWidth="1"/>
    <col min="505" max="505" width="9.7109375" style="14" customWidth="1"/>
    <col min="506" max="506" width="16.28515625" style="14" customWidth="1"/>
    <col min="507" max="507" width="16.140625" style="14" customWidth="1"/>
    <col min="508" max="508" width="15.7109375" style="14" customWidth="1"/>
    <col min="509" max="511" width="18" style="14" customWidth="1"/>
    <col min="512" max="512" width="15.85546875" style="14" customWidth="1"/>
    <col min="513" max="513" width="14.42578125" style="14" customWidth="1"/>
    <col min="514" max="516" width="15.28515625" style="14" customWidth="1"/>
    <col min="517" max="517" width="18.28515625" style="14" customWidth="1"/>
    <col min="518" max="518" width="15.5703125" style="14" customWidth="1"/>
    <col min="519" max="519" width="14.7109375" style="14" bestFit="1" customWidth="1"/>
    <col min="520" max="520" width="15.7109375" style="14" customWidth="1"/>
    <col min="521" max="522" width="15.28515625" style="14" customWidth="1"/>
    <col min="523" max="523" width="18.28515625" style="14" customWidth="1"/>
    <col min="524" max="524" width="15.5703125" style="14" customWidth="1"/>
    <col min="525" max="525" width="14.7109375" style="14" bestFit="1" customWidth="1"/>
    <col min="526" max="526" width="18.7109375" style="14" customWidth="1"/>
    <col min="527" max="528" width="15.28515625" style="14" customWidth="1"/>
    <col min="529" max="529" width="18.28515625" style="14" customWidth="1"/>
    <col min="530" max="530" width="15.85546875" style="14" bestFit="1" customWidth="1"/>
    <col min="531" max="531" width="14.7109375" style="14" bestFit="1" customWidth="1"/>
    <col min="532" max="752" width="9.140625" style="14"/>
    <col min="753" max="753" width="20.7109375" style="14" customWidth="1"/>
    <col min="754" max="754" width="15.7109375" style="14" customWidth="1"/>
    <col min="755" max="755" width="14.28515625" style="14" customWidth="1"/>
    <col min="756" max="756" width="13.85546875" style="14" customWidth="1"/>
    <col min="757" max="757" width="14.5703125" style="14" customWidth="1"/>
    <col min="758" max="759" width="9.140625" style="14" customWidth="1"/>
    <col min="760" max="760" width="9.5703125" style="14" customWidth="1"/>
    <col min="761" max="761" width="9.7109375" style="14" customWidth="1"/>
    <col min="762" max="762" width="16.28515625" style="14" customWidth="1"/>
    <col min="763" max="763" width="16.140625" style="14" customWidth="1"/>
    <col min="764" max="764" width="15.7109375" style="14" customWidth="1"/>
    <col min="765" max="767" width="18" style="14" customWidth="1"/>
    <col min="768" max="768" width="15.85546875" style="14" customWidth="1"/>
    <col min="769" max="769" width="14.42578125" style="14" customWidth="1"/>
    <col min="770" max="772" width="15.28515625" style="14" customWidth="1"/>
    <col min="773" max="773" width="18.28515625" style="14" customWidth="1"/>
    <col min="774" max="774" width="15.5703125" style="14" customWidth="1"/>
    <col min="775" max="775" width="14.7109375" style="14" bestFit="1" customWidth="1"/>
    <col min="776" max="776" width="15.7109375" style="14" customWidth="1"/>
    <col min="777" max="778" width="15.28515625" style="14" customWidth="1"/>
    <col min="779" max="779" width="18.28515625" style="14" customWidth="1"/>
    <col min="780" max="780" width="15.5703125" style="14" customWidth="1"/>
    <col min="781" max="781" width="14.7109375" style="14" bestFit="1" customWidth="1"/>
    <col min="782" max="782" width="18.7109375" style="14" customWidth="1"/>
    <col min="783" max="784" width="15.28515625" style="14" customWidth="1"/>
    <col min="785" max="785" width="18.28515625" style="14" customWidth="1"/>
    <col min="786" max="786" width="15.85546875" style="14" bestFit="1" customWidth="1"/>
    <col min="787" max="787" width="14.7109375" style="14" bestFit="1" customWidth="1"/>
    <col min="788" max="1008" width="9.140625" style="14"/>
    <col min="1009" max="1009" width="20.7109375" style="14" customWidth="1"/>
    <col min="1010" max="1010" width="15.7109375" style="14" customWidth="1"/>
    <col min="1011" max="1011" width="14.28515625" style="14" customWidth="1"/>
    <col min="1012" max="1012" width="13.85546875" style="14" customWidth="1"/>
    <col min="1013" max="1013" width="14.5703125" style="14" customWidth="1"/>
    <col min="1014" max="1015" width="9.140625" style="14" customWidth="1"/>
    <col min="1016" max="1016" width="9.5703125" style="14" customWidth="1"/>
    <col min="1017" max="1017" width="9.7109375" style="14" customWidth="1"/>
    <col min="1018" max="1018" width="16.28515625" style="14" customWidth="1"/>
    <col min="1019" max="1019" width="16.140625" style="14" customWidth="1"/>
    <col min="1020" max="1020" width="15.7109375" style="14" customWidth="1"/>
    <col min="1021" max="1023" width="18" style="14" customWidth="1"/>
    <col min="1024" max="1024" width="15.85546875" style="14" customWidth="1"/>
    <col min="1025" max="1025" width="14.42578125" style="14" customWidth="1"/>
    <col min="1026" max="1028" width="15.28515625" style="14" customWidth="1"/>
    <col min="1029" max="1029" width="18.28515625" style="14" customWidth="1"/>
    <col min="1030" max="1030" width="15.5703125" style="14" customWidth="1"/>
    <col min="1031" max="1031" width="14.7109375" style="14" bestFit="1" customWidth="1"/>
    <col min="1032" max="1032" width="15.7109375" style="14" customWidth="1"/>
    <col min="1033" max="1034" width="15.28515625" style="14" customWidth="1"/>
    <col min="1035" max="1035" width="18.28515625" style="14" customWidth="1"/>
    <col min="1036" max="1036" width="15.5703125" style="14" customWidth="1"/>
    <col min="1037" max="1037" width="14.7109375" style="14" bestFit="1" customWidth="1"/>
    <col min="1038" max="1038" width="18.7109375" style="14" customWidth="1"/>
    <col min="1039" max="1040" width="15.28515625" style="14" customWidth="1"/>
    <col min="1041" max="1041" width="18.28515625" style="14" customWidth="1"/>
    <col min="1042" max="1042" width="15.85546875" style="14" bestFit="1" customWidth="1"/>
    <col min="1043" max="1043" width="14.7109375" style="14" bestFit="1" customWidth="1"/>
    <col min="1044" max="1264" width="9.140625" style="14"/>
    <col min="1265" max="1265" width="20.7109375" style="14" customWidth="1"/>
    <col min="1266" max="1266" width="15.7109375" style="14" customWidth="1"/>
    <col min="1267" max="1267" width="14.28515625" style="14" customWidth="1"/>
    <col min="1268" max="1268" width="13.85546875" style="14" customWidth="1"/>
    <col min="1269" max="1269" width="14.5703125" style="14" customWidth="1"/>
    <col min="1270" max="1271" width="9.140625" style="14" customWidth="1"/>
    <col min="1272" max="1272" width="9.5703125" style="14" customWidth="1"/>
    <col min="1273" max="1273" width="9.7109375" style="14" customWidth="1"/>
    <col min="1274" max="1274" width="16.28515625" style="14" customWidth="1"/>
    <col min="1275" max="1275" width="16.140625" style="14" customWidth="1"/>
    <col min="1276" max="1276" width="15.7109375" style="14" customWidth="1"/>
    <col min="1277" max="1279" width="18" style="14" customWidth="1"/>
    <col min="1280" max="1280" width="15.85546875" style="14" customWidth="1"/>
    <col min="1281" max="1281" width="14.42578125" style="14" customWidth="1"/>
    <col min="1282" max="1284" width="15.28515625" style="14" customWidth="1"/>
    <col min="1285" max="1285" width="18.28515625" style="14" customWidth="1"/>
    <col min="1286" max="1286" width="15.5703125" style="14" customWidth="1"/>
    <col min="1287" max="1287" width="14.7109375" style="14" bestFit="1" customWidth="1"/>
    <col min="1288" max="1288" width="15.7109375" style="14" customWidth="1"/>
    <col min="1289" max="1290" width="15.28515625" style="14" customWidth="1"/>
    <col min="1291" max="1291" width="18.28515625" style="14" customWidth="1"/>
    <col min="1292" max="1292" width="15.5703125" style="14" customWidth="1"/>
    <col min="1293" max="1293" width="14.7109375" style="14" bestFit="1" customWidth="1"/>
    <col min="1294" max="1294" width="18.7109375" style="14" customWidth="1"/>
    <col min="1295" max="1296" width="15.28515625" style="14" customWidth="1"/>
    <col min="1297" max="1297" width="18.28515625" style="14" customWidth="1"/>
    <col min="1298" max="1298" width="15.85546875" style="14" bestFit="1" customWidth="1"/>
    <col min="1299" max="1299" width="14.7109375" style="14" bestFit="1" customWidth="1"/>
    <col min="1300" max="1520" width="9.140625" style="14"/>
    <col min="1521" max="1521" width="20.7109375" style="14" customWidth="1"/>
    <col min="1522" max="1522" width="15.7109375" style="14" customWidth="1"/>
    <col min="1523" max="1523" width="14.28515625" style="14" customWidth="1"/>
    <col min="1524" max="1524" width="13.85546875" style="14" customWidth="1"/>
    <col min="1525" max="1525" width="14.5703125" style="14" customWidth="1"/>
    <col min="1526" max="1527" width="9.140625" style="14" customWidth="1"/>
    <col min="1528" max="1528" width="9.5703125" style="14" customWidth="1"/>
    <col min="1529" max="1529" width="9.7109375" style="14" customWidth="1"/>
    <col min="1530" max="1530" width="16.28515625" style="14" customWidth="1"/>
    <col min="1531" max="1531" width="16.140625" style="14" customWidth="1"/>
    <col min="1532" max="1532" width="15.7109375" style="14" customWidth="1"/>
    <col min="1533" max="1535" width="18" style="14" customWidth="1"/>
    <col min="1536" max="1536" width="15.85546875" style="14" customWidth="1"/>
    <col min="1537" max="1537" width="14.42578125" style="14" customWidth="1"/>
    <col min="1538" max="1540" width="15.28515625" style="14" customWidth="1"/>
    <col min="1541" max="1541" width="18.28515625" style="14" customWidth="1"/>
    <col min="1542" max="1542" width="15.5703125" style="14" customWidth="1"/>
    <col min="1543" max="1543" width="14.7109375" style="14" bestFit="1" customWidth="1"/>
    <col min="1544" max="1544" width="15.7109375" style="14" customWidth="1"/>
    <col min="1545" max="1546" width="15.28515625" style="14" customWidth="1"/>
    <col min="1547" max="1547" width="18.28515625" style="14" customWidth="1"/>
    <col min="1548" max="1548" width="15.5703125" style="14" customWidth="1"/>
    <col min="1549" max="1549" width="14.7109375" style="14" bestFit="1" customWidth="1"/>
    <col min="1550" max="1550" width="18.7109375" style="14" customWidth="1"/>
    <col min="1551" max="1552" width="15.28515625" style="14" customWidth="1"/>
    <col min="1553" max="1553" width="18.28515625" style="14" customWidth="1"/>
    <col min="1554" max="1554" width="15.85546875" style="14" bestFit="1" customWidth="1"/>
    <col min="1555" max="1555" width="14.7109375" style="14" bestFit="1" customWidth="1"/>
    <col min="1556" max="1776" width="9.140625" style="14"/>
    <col min="1777" max="1777" width="20.7109375" style="14" customWidth="1"/>
    <col min="1778" max="1778" width="15.7109375" style="14" customWidth="1"/>
    <col min="1779" max="1779" width="14.28515625" style="14" customWidth="1"/>
    <col min="1780" max="1780" width="13.85546875" style="14" customWidth="1"/>
    <col min="1781" max="1781" width="14.5703125" style="14" customWidth="1"/>
    <col min="1782" max="1783" width="9.140625" style="14" customWidth="1"/>
    <col min="1784" max="1784" width="9.5703125" style="14" customWidth="1"/>
    <col min="1785" max="1785" width="9.7109375" style="14" customWidth="1"/>
    <col min="1786" max="1786" width="16.28515625" style="14" customWidth="1"/>
    <col min="1787" max="1787" width="16.140625" style="14" customWidth="1"/>
    <col min="1788" max="1788" width="15.7109375" style="14" customWidth="1"/>
    <col min="1789" max="1791" width="18" style="14" customWidth="1"/>
    <col min="1792" max="1792" width="15.85546875" style="14" customWidth="1"/>
    <col min="1793" max="1793" width="14.42578125" style="14" customWidth="1"/>
    <col min="1794" max="1796" width="15.28515625" style="14" customWidth="1"/>
    <col min="1797" max="1797" width="18.28515625" style="14" customWidth="1"/>
    <col min="1798" max="1798" width="15.5703125" style="14" customWidth="1"/>
    <col min="1799" max="1799" width="14.7109375" style="14" bestFit="1" customWidth="1"/>
    <col min="1800" max="1800" width="15.7109375" style="14" customWidth="1"/>
    <col min="1801" max="1802" width="15.28515625" style="14" customWidth="1"/>
    <col min="1803" max="1803" width="18.28515625" style="14" customWidth="1"/>
    <col min="1804" max="1804" width="15.5703125" style="14" customWidth="1"/>
    <col min="1805" max="1805" width="14.7109375" style="14" bestFit="1" customWidth="1"/>
    <col min="1806" max="1806" width="18.7109375" style="14" customWidth="1"/>
    <col min="1807" max="1808" width="15.28515625" style="14" customWidth="1"/>
    <col min="1809" max="1809" width="18.28515625" style="14" customWidth="1"/>
    <col min="1810" max="1810" width="15.85546875" style="14" bestFit="1" customWidth="1"/>
    <col min="1811" max="1811" width="14.7109375" style="14" bestFit="1" customWidth="1"/>
    <col min="1812" max="2032" width="9.140625" style="14"/>
    <col min="2033" max="2033" width="20.7109375" style="14" customWidth="1"/>
    <col min="2034" max="2034" width="15.7109375" style="14" customWidth="1"/>
    <col min="2035" max="2035" width="14.28515625" style="14" customWidth="1"/>
    <col min="2036" max="2036" width="13.85546875" style="14" customWidth="1"/>
    <col min="2037" max="2037" width="14.5703125" style="14" customWidth="1"/>
    <col min="2038" max="2039" width="9.140625" style="14" customWidth="1"/>
    <col min="2040" max="2040" width="9.5703125" style="14" customWidth="1"/>
    <col min="2041" max="2041" width="9.7109375" style="14" customWidth="1"/>
    <col min="2042" max="2042" width="16.28515625" style="14" customWidth="1"/>
    <col min="2043" max="2043" width="16.140625" style="14" customWidth="1"/>
    <col min="2044" max="2044" width="15.7109375" style="14" customWidth="1"/>
    <col min="2045" max="2047" width="18" style="14" customWidth="1"/>
    <col min="2048" max="2048" width="15.85546875" style="14" customWidth="1"/>
    <col min="2049" max="2049" width="14.42578125" style="14" customWidth="1"/>
    <col min="2050" max="2052" width="15.28515625" style="14" customWidth="1"/>
    <col min="2053" max="2053" width="18.28515625" style="14" customWidth="1"/>
    <col min="2054" max="2054" width="15.5703125" style="14" customWidth="1"/>
    <col min="2055" max="2055" width="14.7109375" style="14" bestFit="1" customWidth="1"/>
    <col min="2056" max="2056" width="15.7109375" style="14" customWidth="1"/>
    <col min="2057" max="2058" width="15.28515625" style="14" customWidth="1"/>
    <col min="2059" max="2059" width="18.28515625" style="14" customWidth="1"/>
    <col min="2060" max="2060" width="15.5703125" style="14" customWidth="1"/>
    <col min="2061" max="2061" width="14.7109375" style="14" bestFit="1" customWidth="1"/>
    <col min="2062" max="2062" width="18.7109375" style="14" customWidth="1"/>
    <col min="2063" max="2064" width="15.28515625" style="14" customWidth="1"/>
    <col min="2065" max="2065" width="18.28515625" style="14" customWidth="1"/>
    <col min="2066" max="2066" width="15.85546875" style="14" bestFit="1" customWidth="1"/>
    <col min="2067" max="2067" width="14.7109375" style="14" bestFit="1" customWidth="1"/>
    <col min="2068" max="2288" width="9.140625" style="14"/>
    <col min="2289" max="2289" width="20.7109375" style="14" customWidth="1"/>
    <col min="2290" max="2290" width="15.7109375" style="14" customWidth="1"/>
    <col min="2291" max="2291" width="14.28515625" style="14" customWidth="1"/>
    <col min="2292" max="2292" width="13.85546875" style="14" customWidth="1"/>
    <col min="2293" max="2293" width="14.5703125" style="14" customWidth="1"/>
    <col min="2294" max="2295" width="9.140625" style="14" customWidth="1"/>
    <col min="2296" max="2296" width="9.5703125" style="14" customWidth="1"/>
    <col min="2297" max="2297" width="9.7109375" style="14" customWidth="1"/>
    <col min="2298" max="2298" width="16.28515625" style="14" customWidth="1"/>
    <col min="2299" max="2299" width="16.140625" style="14" customWidth="1"/>
    <col min="2300" max="2300" width="15.7109375" style="14" customWidth="1"/>
    <col min="2301" max="2303" width="18" style="14" customWidth="1"/>
    <col min="2304" max="2304" width="15.85546875" style="14" customWidth="1"/>
    <col min="2305" max="2305" width="14.42578125" style="14" customWidth="1"/>
    <col min="2306" max="2308" width="15.28515625" style="14" customWidth="1"/>
    <col min="2309" max="2309" width="18.28515625" style="14" customWidth="1"/>
    <col min="2310" max="2310" width="15.5703125" style="14" customWidth="1"/>
    <col min="2311" max="2311" width="14.7109375" style="14" bestFit="1" customWidth="1"/>
    <col min="2312" max="2312" width="15.7109375" style="14" customWidth="1"/>
    <col min="2313" max="2314" width="15.28515625" style="14" customWidth="1"/>
    <col min="2315" max="2315" width="18.28515625" style="14" customWidth="1"/>
    <col min="2316" max="2316" width="15.5703125" style="14" customWidth="1"/>
    <col min="2317" max="2317" width="14.7109375" style="14" bestFit="1" customWidth="1"/>
    <col min="2318" max="2318" width="18.7109375" style="14" customWidth="1"/>
    <col min="2319" max="2320" width="15.28515625" style="14" customWidth="1"/>
    <col min="2321" max="2321" width="18.28515625" style="14" customWidth="1"/>
    <col min="2322" max="2322" width="15.85546875" style="14" bestFit="1" customWidth="1"/>
    <col min="2323" max="2323" width="14.7109375" style="14" bestFit="1" customWidth="1"/>
    <col min="2324" max="2544" width="9.140625" style="14"/>
    <col min="2545" max="2545" width="20.7109375" style="14" customWidth="1"/>
    <col min="2546" max="2546" width="15.7109375" style="14" customWidth="1"/>
    <col min="2547" max="2547" width="14.28515625" style="14" customWidth="1"/>
    <col min="2548" max="2548" width="13.85546875" style="14" customWidth="1"/>
    <col min="2549" max="2549" width="14.5703125" style="14" customWidth="1"/>
    <col min="2550" max="2551" width="9.140625" style="14" customWidth="1"/>
    <col min="2552" max="2552" width="9.5703125" style="14" customWidth="1"/>
    <col min="2553" max="2553" width="9.7109375" style="14" customWidth="1"/>
    <col min="2554" max="2554" width="16.28515625" style="14" customWidth="1"/>
    <col min="2555" max="2555" width="16.140625" style="14" customWidth="1"/>
    <col min="2556" max="2556" width="15.7109375" style="14" customWidth="1"/>
    <col min="2557" max="2559" width="18" style="14" customWidth="1"/>
    <col min="2560" max="2560" width="15.85546875" style="14" customWidth="1"/>
    <col min="2561" max="2561" width="14.42578125" style="14" customWidth="1"/>
    <col min="2562" max="2564" width="15.28515625" style="14" customWidth="1"/>
    <col min="2565" max="2565" width="18.28515625" style="14" customWidth="1"/>
    <col min="2566" max="2566" width="15.5703125" style="14" customWidth="1"/>
    <col min="2567" max="2567" width="14.7109375" style="14" bestFit="1" customWidth="1"/>
    <col min="2568" max="2568" width="15.7109375" style="14" customWidth="1"/>
    <col min="2569" max="2570" width="15.28515625" style="14" customWidth="1"/>
    <col min="2571" max="2571" width="18.28515625" style="14" customWidth="1"/>
    <col min="2572" max="2572" width="15.5703125" style="14" customWidth="1"/>
    <col min="2573" max="2573" width="14.7109375" style="14" bestFit="1" customWidth="1"/>
    <col min="2574" max="2574" width="18.7109375" style="14" customWidth="1"/>
    <col min="2575" max="2576" width="15.28515625" style="14" customWidth="1"/>
    <col min="2577" max="2577" width="18.28515625" style="14" customWidth="1"/>
    <col min="2578" max="2578" width="15.85546875" style="14" bestFit="1" customWidth="1"/>
    <col min="2579" max="2579" width="14.7109375" style="14" bestFit="1" customWidth="1"/>
    <col min="2580" max="2800" width="9.140625" style="14"/>
    <col min="2801" max="2801" width="20.7109375" style="14" customWidth="1"/>
    <col min="2802" max="2802" width="15.7109375" style="14" customWidth="1"/>
    <col min="2803" max="2803" width="14.28515625" style="14" customWidth="1"/>
    <col min="2804" max="2804" width="13.85546875" style="14" customWidth="1"/>
    <col min="2805" max="2805" width="14.5703125" style="14" customWidth="1"/>
    <col min="2806" max="2807" width="9.140625" style="14" customWidth="1"/>
    <col min="2808" max="2808" width="9.5703125" style="14" customWidth="1"/>
    <col min="2809" max="2809" width="9.7109375" style="14" customWidth="1"/>
    <col min="2810" max="2810" width="16.28515625" style="14" customWidth="1"/>
    <col min="2811" max="2811" width="16.140625" style="14" customWidth="1"/>
    <col min="2812" max="2812" width="15.7109375" style="14" customWidth="1"/>
    <col min="2813" max="2815" width="18" style="14" customWidth="1"/>
    <col min="2816" max="2816" width="15.85546875" style="14" customWidth="1"/>
    <col min="2817" max="2817" width="14.42578125" style="14" customWidth="1"/>
    <col min="2818" max="2820" width="15.28515625" style="14" customWidth="1"/>
    <col min="2821" max="2821" width="18.28515625" style="14" customWidth="1"/>
    <col min="2822" max="2822" width="15.5703125" style="14" customWidth="1"/>
    <col min="2823" max="2823" width="14.7109375" style="14" bestFit="1" customWidth="1"/>
    <col min="2824" max="2824" width="15.7109375" style="14" customWidth="1"/>
    <col min="2825" max="2826" width="15.28515625" style="14" customWidth="1"/>
    <col min="2827" max="2827" width="18.28515625" style="14" customWidth="1"/>
    <col min="2828" max="2828" width="15.5703125" style="14" customWidth="1"/>
    <col min="2829" max="2829" width="14.7109375" style="14" bestFit="1" customWidth="1"/>
    <col min="2830" max="2830" width="18.7109375" style="14" customWidth="1"/>
    <col min="2831" max="2832" width="15.28515625" style="14" customWidth="1"/>
    <col min="2833" max="2833" width="18.28515625" style="14" customWidth="1"/>
    <col min="2834" max="2834" width="15.85546875" style="14" bestFit="1" customWidth="1"/>
    <col min="2835" max="2835" width="14.7109375" style="14" bestFit="1" customWidth="1"/>
    <col min="2836" max="3056" width="9.140625" style="14"/>
    <col min="3057" max="3057" width="20.7109375" style="14" customWidth="1"/>
    <col min="3058" max="3058" width="15.7109375" style="14" customWidth="1"/>
    <col min="3059" max="3059" width="14.28515625" style="14" customWidth="1"/>
    <col min="3060" max="3060" width="13.85546875" style="14" customWidth="1"/>
    <col min="3061" max="3061" width="14.5703125" style="14" customWidth="1"/>
    <col min="3062" max="3063" width="9.140625" style="14" customWidth="1"/>
    <col min="3064" max="3064" width="9.5703125" style="14" customWidth="1"/>
    <col min="3065" max="3065" width="9.7109375" style="14" customWidth="1"/>
    <col min="3066" max="3066" width="16.28515625" style="14" customWidth="1"/>
    <col min="3067" max="3067" width="16.140625" style="14" customWidth="1"/>
    <col min="3068" max="3068" width="15.7109375" style="14" customWidth="1"/>
    <col min="3069" max="3071" width="18" style="14" customWidth="1"/>
    <col min="3072" max="3072" width="15.85546875" style="14" customWidth="1"/>
    <col min="3073" max="3073" width="14.42578125" style="14" customWidth="1"/>
    <col min="3074" max="3076" width="15.28515625" style="14" customWidth="1"/>
    <col min="3077" max="3077" width="18.28515625" style="14" customWidth="1"/>
    <col min="3078" max="3078" width="15.5703125" style="14" customWidth="1"/>
    <col min="3079" max="3079" width="14.7109375" style="14" bestFit="1" customWidth="1"/>
    <col min="3080" max="3080" width="15.7109375" style="14" customWidth="1"/>
    <col min="3081" max="3082" width="15.28515625" style="14" customWidth="1"/>
    <col min="3083" max="3083" width="18.28515625" style="14" customWidth="1"/>
    <col min="3084" max="3084" width="15.5703125" style="14" customWidth="1"/>
    <col min="3085" max="3085" width="14.7109375" style="14" bestFit="1" customWidth="1"/>
    <col min="3086" max="3086" width="18.7109375" style="14" customWidth="1"/>
    <col min="3087" max="3088" width="15.28515625" style="14" customWidth="1"/>
    <col min="3089" max="3089" width="18.28515625" style="14" customWidth="1"/>
    <col min="3090" max="3090" width="15.85546875" style="14" bestFit="1" customWidth="1"/>
    <col min="3091" max="3091" width="14.7109375" style="14" bestFit="1" customWidth="1"/>
    <col min="3092" max="3312" width="9.140625" style="14"/>
    <col min="3313" max="3313" width="20.7109375" style="14" customWidth="1"/>
    <col min="3314" max="3314" width="15.7109375" style="14" customWidth="1"/>
    <col min="3315" max="3315" width="14.28515625" style="14" customWidth="1"/>
    <col min="3316" max="3316" width="13.85546875" style="14" customWidth="1"/>
    <col min="3317" max="3317" width="14.5703125" style="14" customWidth="1"/>
    <col min="3318" max="3319" width="9.140625" style="14" customWidth="1"/>
    <col min="3320" max="3320" width="9.5703125" style="14" customWidth="1"/>
    <col min="3321" max="3321" width="9.7109375" style="14" customWidth="1"/>
    <col min="3322" max="3322" width="16.28515625" style="14" customWidth="1"/>
    <col min="3323" max="3323" width="16.140625" style="14" customWidth="1"/>
    <col min="3324" max="3324" width="15.7109375" style="14" customWidth="1"/>
    <col min="3325" max="3327" width="18" style="14" customWidth="1"/>
    <col min="3328" max="3328" width="15.85546875" style="14" customWidth="1"/>
    <col min="3329" max="3329" width="14.42578125" style="14" customWidth="1"/>
    <col min="3330" max="3332" width="15.28515625" style="14" customWidth="1"/>
    <col min="3333" max="3333" width="18.28515625" style="14" customWidth="1"/>
    <col min="3334" max="3334" width="15.5703125" style="14" customWidth="1"/>
    <col min="3335" max="3335" width="14.7109375" style="14" bestFit="1" customWidth="1"/>
    <col min="3336" max="3336" width="15.7109375" style="14" customWidth="1"/>
    <col min="3337" max="3338" width="15.28515625" style="14" customWidth="1"/>
    <col min="3339" max="3339" width="18.28515625" style="14" customWidth="1"/>
    <col min="3340" max="3340" width="15.5703125" style="14" customWidth="1"/>
    <col min="3341" max="3341" width="14.7109375" style="14" bestFit="1" customWidth="1"/>
    <col min="3342" max="3342" width="18.7109375" style="14" customWidth="1"/>
    <col min="3343" max="3344" width="15.28515625" style="14" customWidth="1"/>
    <col min="3345" max="3345" width="18.28515625" style="14" customWidth="1"/>
    <col min="3346" max="3346" width="15.85546875" style="14" bestFit="1" customWidth="1"/>
    <col min="3347" max="3347" width="14.7109375" style="14" bestFit="1" customWidth="1"/>
    <col min="3348" max="3568" width="9.140625" style="14"/>
    <col min="3569" max="3569" width="20.7109375" style="14" customWidth="1"/>
    <col min="3570" max="3570" width="15.7109375" style="14" customWidth="1"/>
    <col min="3571" max="3571" width="14.28515625" style="14" customWidth="1"/>
    <col min="3572" max="3572" width="13.85546875" style="14" customWidth="1"/>
    <col min="3573" max="3573" width="14.5703125" style="14" customWidth="1"/>
    <col min="3574" max="3575" width="9.140625" style="14" customWidth="1"/>
    <col min="3576" max="3576" width="9.5703125" style="14" customWidth="1"/>
    <col min="3577" max="3577" width="9.7109375" style="14" customWidth="1"/>
    <col min="3578" max="3578" width="16.28515625" style="14" customWidth="1"/>
    <col min="3579" max="3579" width="16.140625" style="14" customWidth="1"/>
    <col min="3580" max="3580" width="15.7109375" style="14" customWidth="1"/>
    <col min="3581" max="3583" width="18" style="14" customWidth="1"/>
    <col min="3584" max="3584" width="15.85546875" style="14" customWidth="1"/>
    <col min="3585" max="3585" width="14.42578125" style="14" customWidth="1"/>
    <col min="3586" max="3588" width="15.28515625" style="14" customWidth="1"/>
    <col min="3589" max="3589" width="18.28515625" style="14" customWidth="1"/>
    <col min="3590" max="3590" width="15.5703125" style="14" customWidth="1"/>
    <col min="3591" max="3591" width="14.7109375" style="14" bestFit="1" customWidth="1"/>
    <col min="3592" max="3592" width="15.7109375" style="14" customWidth="1"/>
    <col min="3593" max="3594" width="15.28515625" style="14" customWidth="1"/>
    <col min="3595" max="3595" width="18.28515625" style="14" customWidth="1"/>
    <col min="3596" max="3596" width="15.5703125" style="14" customWidth="1"/>
    <col min="3597" max="3597" width="14.7109375" style="14" bestFit="1" customWidth="1"/>
    <col min="3598" max="3598" width="18.7109375" style="14" customWidth="1"/>
    <col min="3599" max="3600" width="15.28515625" style="14" customWidth="1"/>
    <col min="3601" max="3601" width="18.28515625" style="14" customWidth="1"/>
    <col min="3602" max="3602" width="15.85546875" style="14" bestFit="1" customWidth="1"/>
    <col min="3603" max="3603" width="14.7109375" style="14" bestFit="1" customWidth="1"/>
    <col min="3604" max="3824" width="9.140625" style="14"/>
    <col min="3825" max="3825" width="20.7109375" style="14" customWidth="1"/>
    <col min="3826" max="3826" width="15.7109375" style="14" customWidth="1"/>
    <col min="3827" max="3827" width="14.28515625" style="14" customWidth="1"/>
    <col min="3828" max="3828" width="13.85546875" style="14" customWidth="1"/>
    <col min="3829" max="3829" width="14.5703125" style="14" customWidth="1"/>
    <col min="3830" max="3831" width="9.140625" style="14" customWidth="1"/>
    <col min="3832" max="3832" width="9.5703125" style="14" customWidth="1"/>
    <col min="3833" max="3833" width="9.7109375" style="14" customWidth="1"/>
    <col min="3834" max="3834" width="16.28515625" style="14" customWidth="1"/>
    <col min="3835" max="3835" width="16.140625" style="14" customWidth="1"/>
    <col min="3836" max="3836" width="15.7109375" style="14" customWidth="1"/>
    <col min="3837" max="3839" width="18" style="14" customWidth="1"/>
    <col min="3840" max="3840" width="15.85546875" style="14" customWidth="1"/>
    <col min="3841" max="3841" width="14.42578125" style="14" customWidth="1"/>
    <col min="3842" max="3844" width="15.28515625" style="14" customWidth="1"/>
    <col min="3845" max="3845" width="18.28515625" style="14" customWidth="1"/>
    <col min="3846" max="3846" width="15.5703125" style="14" customWidth="1"/>
    <col min="3847" max="3847" width="14.7109375" style="14" bestFit="1" customWidth="1"/>
    <col min="3848" max="3848" width="15.7109375" style="14" customWidth="1"/>
    <col min="3849" max="3850" width="15.28515625" style="14" customWidth="1"/>
    <col min="3851" max="3851" width="18.28515625" style="14" customWidth="1"/>
    <col min="3852" max="3852" width="15.5703125" style="14" customWidth="1"/>
    <col min="3853" max="3853" width="14.7109375" style="14" bestFit="1" customWidth="1"/>
    <col min="3854" max="3854" width="18.7109375" style="14" customWidth="1"/>
    <col min="3855" max="3856" width="15.28515625" style="14" customWidth="1"/>
    <col min="3857" max="3857" width="18.28515625" style="14" customWidth="1"/>
    <col min="3858" max="3858" width="15.85546875" style="14" bestFit="1" customWidth="1"/>
    <col min="3859" max="3859" width="14.7109375" style="14" bestFit="1" customWidth="1"/>
    <col min="3860" max="4080" width="9.140625" style="14"/>
    <col min="4081" max="4081" width="20.7109375" style="14" customWidth="1"/>
    <col min="4082" max="4082" width="15.7109375" style="14" customWidth="1"/>
    <col min="4083" max="4083" width="14.28515625" style="14" customWidth="1"/>
    <col min="4084" max="4084" width="13.85546875" style="14" customWidth="1"/>
    <col min="4085" max="4085" width="14.5703125" style="14" customWidth="1"/>
    <col min="4086" max="4087" width="9.140625" style="14" customWidth="1"/>
    <col min="4088" max="4088" width="9.5703125" style="14" customWidth="1"/>
    <col min="4089" max="4089" width="9.7109375" style="14" customWidth="1"/>
    <col min="4090" max="4090" width="16.28515625" style="14" customWidth="1"/>
    <col min="4091" max="4091" width="16.140625" style="14" customWidth="1"/>
    <col min="4092" max="4092" width="15.7109375" style="14" customWidth="1"/>
    <col min="4093" max="4095" width="18" style="14" customWidth="1"/>
    <col min="4096" max="4096" width="15.85546875" style="14" customWidth="1"/>
    <col min="4097" max="4097" width="14.42578125" style="14" customWidth="1"/>
    <col min="4098" max="4100" width="15.28515625" style="14" customWidth="1"/>
    <col min="4101" max="4101" width="18.28515625" style="14" customWidth="1"/>
    <col min="4102" max="4102" width="15.5703125" style="14" customWidth="1"/>
    <col min="4103" max="4103" width="14.7109375" style="14" bestFit="1" customWidth="1"/>
    <col min="4104" max="4104" width="15.7109375" style="14" customWidth="1"/>
    <col min="4105" max="4106" width="15.28515625" style="14" customWidth="1"/>
    <col min="4107" max="4107" width="18.28515625" style="14" customWidth="1"/>
    <col min="4108" max="4108" width="15.5703125" style="14" customWidth="1"/>
    <col min="4109" max="4109" width="14.7109375" style="14" bestFit="1" customWidth="1"/>
    <col min="4110" max="4110" width="18.7109375" style="14" customWidth="1"/>
    <col min="4111" max="4112" width="15.28515625" style="14" customWidth="1"/>
    <col min="4113" max="4113" width="18.28515625" style="14" customWidth="1"/>
    <col min="4114" max="4114" width="15.85546875" style="14" bestFit="1" customWidth="1"/>
    <col min="4115" max="4115" width="14.7109375" style="14" bestFit="1" customWidth="1"/>
    <col min="4116" max="4336" width="9.140625" style="14"/>
    <col min="4337" max="4337" width="20.7109375" style="14" customWidth="1"/>
    <col min="4338" max="4338" width="15.7109375" style="14" customWidth="1"/>
    <col min="4339" max="4339" width="14.28515625" style="14" customWidth="1"/>
    <col min="4340" max="4340" width="13.85546875" style="14" customWidth="1"/>
    <col min="4341" max="4341" width="14.5703125" style="14" customWidth="1"/>
    <col min="4342" max="4343" width="9.140625" style="14" customWidth="1"/>
    <col min="4344" max="4344" width="9.5703125" style="14" customWidth="1"/>
    <col min="4345" max="4345" width="9.7109375" style="14" customWidth="1"/>
    <col min="4346" max="4346" width="16.28515625" style="14" customWidth="1"/>
    <col min="4347" max="4347" width="16.140625" style="14" customWidth="1"/>
    <col min="4348" max="4348" width="15.7109375" style="14" customWidth="1"/>
    <col min="4349" max="4351" width="18" style="14" customWidth="1"/>
    <col min="4352" max="4352" width="15.85546875" style="14" customWidth="1"/>
    <col min="4353" max="4353" width="14.42578125" style="14" customWidth="1"/>
    <col min="4354" max="4356" width="15.28515625" style="14" customWidth="1"/>
    <col min="4357" max="4357" width="18.28515625" style="14" customWidth="1"/>
    <col min="4358" max="4358" width="15.5703125" style="14" customWidth="1"/>
    <col min="4359" max="4359" width="14.7109375" style="14" bestFit="1" customWidth="1"/>
    <col min="4360" max="4360" width="15.7109375" style="14" customWidth="1"/>
    <col min="4361" max="4362" width="15.28515625" style="14" customWidth="1"/>
    <col min="4363" max="4363" width="18.28515625" style="14" customWidth="1"/>
    <col min="4364" max="4364" width="15.5703125" style="14" customWidth="1"/>
    <col min="4365" max="4365" width="14.7109375" style="14" bestFit="1" customWidth="1"/>
    <col min="4366" max="4366" width="18.7109375" style="14" customWidth="1"/>
    <col min="4367" max="4368" width="15.28515625" style="14" customWidth="1"/>
    <col min="4369" max="4369" width="18.28515625" style="14" customWidth="1"/>
    <col min="4370" max="4370" width="15.85546875" style="14" bestFit="1" customWidth="1"/>
    <col min="4371" max="4371" width="14.7109375" style="14" bestFit="1" customWidth="1"/>
    <col min="4372" max="4592" width="9.140625" style="14"/>
    <col min="4593" max="4593" width="20.7109375" style="14" customWidth="1"/>
    <col min="4594" max="4594" width="15.7109375" style="14" customWidth="1"/>
    <col min="4595" max="4595" width="14.28515625" style="14" customWidth="1"/>
    <col min="4596" max="4596" width="13.85546875" style="14" customWidth="1"/>
    <col min="4597" max="4597" width="14.5703125" style="14" customWidth="1"/>
    <col min="4598" max="4599" width="9.140625" style="14" customWidth="1"/>
    <col min="4600" max="4600" width="9.5703125" style="14" customWidth="1"/>
    <col min="4601" max="4601" width="9.7109375" style="14" customWidth="1"/>
    <col min="4602" max="4602" width="16.28515625" style="14" customWidth="1"/>
    <col min="4603" max="4603" width="16.140625" style="14" customWidth="1"/>
    <col min="4604" max="4604" width="15.7109375" style="14" customWidth="1"/>
    <col min="4605" max="4607" width="18" style="14" customWidth="1"/>
    <col min="4608" max="4608" width="15.85546875" style="14" customWidth="1"/>
    <col min="4609" max="4609" width="14.42578125" style="14" customWidth="1"/>
    <col min="4610" max="4612" width="15.28515625" style="14" customWidth="1"/>
    <col min="4613" max="4613" width="18.28515625" style="14" customWidth="1"/>
    <col min="4614" max="4614" width="15.5703125" style="14" customWidth="1"/>
    <col min="4615" max="4615" width="14.7109375" style="14" bestFit="1" customWidth="1"/>
    <col min="4616" max="4616" width="15.7109375" style="14" customWidth="1"/>
    <col min="4617" max="4618" width="15.28515625" style="14" customWidth="1"/>
    <col min="4619" max="4619" width="18.28515625" style="14" customWidth="1"/>
    <col min="4620" max="4620" width="15.5703125" style="14" customWidth="1"/>
    <col min="4621" max="4621" width="14.7109375" style="14" bestFit="1" customWidth="1"/>
    <col min="4622" max="4622" width="18.7109375" style="14" customWidth="1"/>
    <col min="4623" max="4624" width="15.28515625" style="14" customWidth="1"/>
    <col min="4625" max="4625" width="18.28515625" style="14" customWidth="1"/>
    <col min="4626" max="4626" width="15.85546875" style="14" bestFit="1" customWidth="1"/>
    <col min="4627" max="4627" width="14.7109375" style="14" bestFit="1" customWidth="1"/>
    <col min="4628" max="4848" width="9.140625" style="14"/>
    <col min="4849" max="4849" width="20.7109375" style="14" customWidth="1"/>
    <col min="4850" max="4850" width="15.7109375" style="14" customWidth="1"/>
    <col min="4851" max="4851" width="14.28515625" style="14" customWidth="1"/>
    <col min="4852" max="4852" width="13.85546875" style="14" customWidth="1"/>
    <col min="4853" max="4853" width="14.5703125" style="14" customWidth="1"/>
    <col min="4854" max="4855" width="9.140625" style="14" customWidth="1"/>
    <col min="4856" max="4856" width="9.5703125" style="14" customWidth="1"/>
    <col min="4857" max="4857" width="9.7109375" style="14" customWidth="1"/>
    <col min="4858" max="4858" width="16.28515625" style="14" customWidth="1"/>
    <col min="4859" max="4859" width="16.140625" style="14" customWidth="1"/>
    <col min="4860" max="4860" width="15.7109375" style="14" customWidth="1"/>
    <col min="4861" max="4863" width="18" style="14" customWidth="1"/>
    <col min="4864" max="4864" width="15.85546875" style="14" customWidth="1"/>
    <col min="4865" max="4865" width="14.42578125" style="14" customWidth="1"/>
    <col min="4866" max="4868" width="15.28515625" style="14" customWidth="1"/>
    <col min="4869" max="4869" width="18.28515625" style="14" customWidth="1"/>
    <col min="4870" max="4870" width="15.5703125" style="14" customWidth="1"/>
    <col min="4871" max="4871" width="14.7109375" style="14" bestFit="1" customWidth="1"/>
    <col min="4872" max="4872" width="15.7109375" style="14" customWidth="1"/>
    <col min="4873" max="4874" width="15.28515625" style="14" customWidth="1"/>
    <col min="4875" max="4875" width="18.28515625" style="14" customWidth="1"/>
    <col min="4876" max="4876" width="15.5703125" style="14" customWidth="1"/>
    <col min="4877" max="4877" width="14.7109375" style="14" bestFit="1" customWidth="1"/>
    <col min="4878" max="4878" width="18.7109375" style="14" customWidth="1"/>
    <col min="4879" max="4880" width="15.28515625" style="14" customWidth="1"/>
    <col min="4881" max="4881" width="18.28515625" style="14" customWidth="1"/>
    <col min="4882" max="4882" width="15.85546875" style="14" bestFit="1" customWidth="1"/>
    <col min="4883" max="4883" width="14.7109375" style="14" bestFit="1" customWidth="1"/>
    <col min="4884" max="5104" width="9.140625" style="14"/>
    <col min="5105" max="5105" width="20.7109375" style="14" customWidth="1"/>
    <col min="5106" max="5106" width="15.7109375" style="14" customWidth="1"/>
    <col min="5107" max="5107" width="14.28515625" style="14" customWidth="1"/>
    <col min="5108" max="5108" width="13.85546875" style="14" customWidth="1"/>
    <col min="5109" max="5109" width="14.5703125" style="14" customWidth="1"/>
    <col min="5110" max="5111" width="9.140625" style="14" customWidth="1"/>
    <col min="5112" max="5112" width="9.5703125" style="14" customWidth="1"/>
    <col min="5113" max="5113" width="9.7109375" style="14" customWidth="1"/>
    <col min="5114" max="5114" width="16.28515625" style="14" customWidth="1"/>
    <col min="5115" max="5115" width="16.140625" style="14" customWidth="1"/>
    <col min="5116" max="5116" width="15.7109375" style="14" customWidth="1"/>
    <col min="5117" max="5119" width="18" style="14" customWidth="1"/>
    <col min="5120" max="5120" width="15.85546875" style="14" customWidth="1"/>
    <col min="5121" max="5121" width="14.42578125" style="14" customWidth="1"/>
    <col min="5122" max="5124" width="15.28515625" style="14" customWidth="1"/>
    <col min="5125" max="5125" width="18.28515625" style="14" customWidth="1"/>
    <col min="5126" max="5126" width="15.5703125" style="14" customWidth="1"/>
    <col min="5127" max="5127" width="14.7109375" style="14" bestFit="1" customWidth="1"/>
    <col min="5128" max="5128" width="15.7109375" style="14" customWidth="1"/>
    <col min="5129" max="5130" width="15.28515625" style="14" customWidth="1"/>
    <col min="5131" max="5131" width="18.28515625" style="14" customWidth="1"/>
    <col min="5132" max="5132" width="15.5703125" style="14" customWidth="1"/>
    <col min="5133" max="5133" width="14.7109375" style="14" bestFit="1" customWidth="1"/>
    <col min="5134" max="5134" width="18.7109375" style="14" customWidth="1"/>
    <col min="5135" max="5136" width="15.28515625" style="14" customWidth="1"/>
    <col min="5137" max="5137" width="18.28515625" style="14" customWidth="1"/>
    <col min="5138" max="5138" width="15.85546875" style="14" bestFit="1" customWidth="1"/>
    <col min="5139" max="5139" width="14.7109375" style="14" bestFit="1" customWidth="1"/>
    <col min="5140" max="5360" width="9.140625" style="14"/>
    <col min="5361" max="5361" width="20.7109375" style="14" customWidth="1"/>
    <col min="5362" max="5362" width="15.7109375" style="14" customWidth="1"/>
    <col min="5363" max="5363" width="14.28515625" style="14" customWidth="1"/>
    <col min="5364" max="5364" width="13.85546875" style="14" customWidth="1"/>
    <col min="5365" max="5365" width="14.5703125" style="14" customWidth="1"/>
    <col min="5366" max="5367" width="9.140625" style="14" customWidth="1"/>
    <col min="5368" max="5368" width="9.5703125" style="14" customWidth="1"/>
    <col min="5369" max="5369" width="9.7109375" style="14" customWidth="1"/>
    <col min="5370" max="5370" width="16.28515625" style="14" customWidth="1"/>
    <col min="5371" max="5371" width="16.140625" style="14" customWidth="1"/>
    <col min="5372" max="5372" width="15.7109375" style="14" customWidth="1"/>
    <col min="5373" max="5375" width="18" style="14" customWidth="1"/>
    <col min="5376" max="5376" width="15.85546875" style="14" customWidth="1"/>
    <col min="5377" max="5377" width="14.42578125" style="14" customWidth="1"/>
    <col min="5378" max="5380" width="15.28515625" style="14" customWidth="1"/>
    <col min="5381" max="5381" width="18.28515625" style="14" customWidth="1"/>
    <col min="5382" max="5382" width="15.5703125" style="14" customWidth="1"/>
    <col min="5383" max="5383" width="14.7109375" style="14" bestFit="1" customWidth="1"/>
    <col min="5384" max="5384" width="15.7109375" style="14" customWidth="1"/>
    <col min="5385" max="5386" width="15.28515625" style="14" customWidth="1"/>
    <col min="5387" max="5387" width="18.28515625" style="14" customWidth="1"/>
    <col min="5388" max="5388" width="15.5703125" style="14" customWidth="1"/>
    <col min="5389" max="5389" width="14.7109375" style="14" bestFit="1" customWidth="1"/>
    <col min="5390" max="5390" width="18.7109375" style="14" customWidth="1"/>
    <col min="5391" max="5392" width="15.28515625" style="14" customWidth="1"/>
    <col min="5393" max="5393" width="18.28515625" style="14" customWidth="1"/>
    <col min="5394" max="5394" width="15.85546875" style="14" bestFit="1" customWidth="1"/>
    <col min="5395" max="5395" width="14.7109375" style="14" bestFit="1" customWidth="1"/>
    <col min="5396" max="5616" width="9.140625" style="14"/>
    <col min="5617" max="5617" width="20.7109375" style="14" customWidth="1"/>
    <col min="5618" max="5618" width="15.7109375" style="14" customWidth="1"/>
    <col min="5619" max="5619" width="14.28515625" style="14" customWidth="1"/>
    <col min="5620" max="5620" width="13.85546875" style="14" customWidth="1"/>
    <col min="5621" max="5621" width="14.5703125" style="14" customWidth="1"/>
    <col min="5622" max="5623" width="9.140625" style="14" customWidth="1"/>
    <col min="5624" max="5624" width="9.5703125" style="14" customWidth="1"/>
    <col min="5625" max="5625" width="9.7109375" style="14" customWidth="1"/>
    <col min="5626" max="5626" width="16.28515625" style="14" customWidth="1"/>
    <col min="5627" max="5627" width="16.140625" style="14" customWidth="1"/>
    <col min="5628" max="5628" width="15.7109375" style="14" customWidth="1"/>
    <col min="5629" max="5631" width="18" style="14" customWidth="1"/>
    <col min="5632" max="5632" width="15.85546875" style="14" customWidth="1"/>
    <col min="5633" max="5633" width="14.42578125" style="14" customWidth="1"/>
    <col min="5634" max="5636" width="15.28515625" style="14" customWidth="1"/>
    <col min="5637" max="5637" width="18.28515625" style="14" customWidth="1"/>
    <col min="5638" max="5638" width="15.5703125" style="14" customWidth="1"/>
    <col min="5639" max="5639" width="14.7109375" style="14" bestFit="1" customWidth="1"/>
    <col min="5640" max="5640" width="15.7109375" style="14" customWidth="1"/>
    <col min="5641" max="5642" width="15.28515625" style="14" customWidth="1"/>
    <col min="5643" max="5643" width="18.28515625" style="14" customWidth="1"/>
    <col min="5644" max="5644" width="15.5703125" style="14" customWidth="1"/>
    <col min="5645" max="5645" width="14.7109375" style="14" bestFit="1" customWidth="1"/>
    <col min="5646" max="5646" width="18.7109375" style="14" customWidth="1"/>
    <col min="5647" max="5648" width="15.28515625" style="14" customWidth="1"/>
    <col min="5649" max="5649" width="18.28515625" style="14" customWidth="1"/>
    <col min="5650" max="5650" width="15.85546875" style="14" bestFit="1" customWidth="1"/>
    <col min="5651" max="5651" width="14.7109375" style="14" bestFit="1" customWidth="1"/>
    <col min="5652" max="5872" width="9.140625" style="14"/>
    <col min="5873" max="5873" width="20.7109375" style="14" customWidth="1"/>
    <col min="5874" max="5874" width="15.7109375" style="14" customWidth="1"/>
    <col min="5875" max="5875" width="14.28515625" style="14" customWidth="1"/>
    <col min="5876" max="5876" width="13.85546875" style="14" customWidth="1"/>
    <col min="5877" max="5877" width="14.5703125" style="14" customWidth="1"/>
    <col min="5878" max="5879" width="9.140625" style="14" customWidth="1"/>
    <col min="5880" max="5880" width="9.5703125" style="14" customWidth="1"/>
    <col min="5881" max="5881" width="9.7109375" style="14" customWidth="1"/>
    <col min="5882" max="5882" width="16.28515625" style="14" customWidth="1"/>
    <col min="5883" max="5883" width="16.140625" style="14" customWidth="1"/>
    <col min="5884" max="5884" width="15.7109375" style="14" customWidth="1"/>
    <col min="5885" max="5887" width="18" style="14" customWidth="1"/>
    <col min="5888" max="5888" width="15.85546875" style="14" customWidth="1"/>
    <col min="5889" max="5889" width="14.42578125" style="14" customWidth="1"/>
    <col min="5890" max="5892" width="15.28515625" style="14" customWidth="1"/>
    <col min="5893" max="5893" width="18.28515625" style="14" customWidth="1"/>
    <col min="5894" max="5894" width="15.5703125" style="14" customWidth="1"/>
    <col min="5895" max="5895" width="14.7109375" style="14" bestFit="1" customWidth="1"/>
    <col min="5896" max="5896" width="15.7109375" style="14" customWidth="1"/>
    <col min="5897" max="5898" width="15.28515625" style="14" customWidth="1"/>
    <col min="5899" max="5899" width="18.28515625" style="14" customWidth="1"/>
    <col min="5900" max="5900" width="15.5703125" style="14" customWidth="1"/>
    <col min="5901" max="5901" width="14.7109375" style="14" bestFit="1" customWidth="1"/>
    <col min="5902" max="5902" width="18.7109375" style="14" customWidth="1"/>
    <col min="5903" max="5904" width="15.28515625" style="14" customWidth="1"/>
    <col min="5905" max="5905" width="18.28515625" style="14" customWidth="1"/>
    <col min="5906" max="5906" width="15.85546875" style="14" bestFit="1" customWidth="1"/>
    <col min="5907" max="5907" width="14.7109375" style="14" bestFit="1" customWidth="1"/>
    <col min="5908" max="6128" width="9.140625" style="14"/>
    <col min="6129" max="6129" width="20.7109375" style="14" customWidth="1"/>
    <col min="6130" max="6130" width="15.7109375" style="14" customWidth="1"/>
    <col min="6131" max="6131" width="14.28515625" style="14" customWidth="1"/>
    <col min="6132" max="6132" width="13.85546875" style="14" customWidth="1"/>
    <col min="6133" max="6133" width="14.5703125" style="14" customWidth="1"/>
    <col min="6134" max="6135" width="9.140625" style="14" customWidth="1"/>
    <col min="6136" max="6136" width="9.5703125" style="14" customWidth="1"/>
    <col min="6137" max="6137" width="9.7109375" style="14" customWidth="1"/>
    <col min="6138" max="6138" width="16.28515625" style="14" customWidth="1"/>
    <col min="6139" max="6139" width="16.140625" style="14" customWidth="1"/>
    <col min="6140" max="6140" width="15.7109375" style="14" customWidth="1"/>
    <col min="6141" max="6143" width="18" style="14" customWidth="1"/>
    <col min="6144" max="6144" width="15.85546875" style="14" customWidth="1"/>
    <col min="6145" max="6145" width="14.42578125" style="14" customWidth="1"/>
    <col min="6146" max="6148" width="15.28515625" style="14" customWidth="1"/>
    <col min="6149" max="6149" width="18.28515625" style="14" customWidth="1"/>
    <col min="6150" max="6150" width="15.5703125" style="14" customWidth="1"/>
    <col min="6151" max="6151" width="14.7109375" style="14" bestFit="1" customWidth="1"/>
    <col min="6152" max="6152" width="15.7109375" style="14" customWidth="1"/>
    <col min="6153" max="6154" width="15.28515625" style="14" customWidth="1"/>
    <col min="6155" max="6155" width="18.28515625" style="14" customWidth="1"/>
    <col min="6156" max="6156" width="15.5703125" style="14" customWidth="1"/>
    <col min="6157" max="6157" width="14.7109375" style="14" bestFit="1" customWidth="1"/>
    <col min="6158" max="6158" width="18.7109375" style="14" customWidth="1"/>
    <col min="6159" max="6160" width="15.28515625" style="14" customWidth="1"/>
    <col min="6161" max="6161" width="18.28515625" style="14" customWidth="1"/>
    <col min="6162" max="6162" width="15.85546875" style="14" bestFit="1" customWidth="1"/>
    <col min="6163" max="6163" width="14.7109375" style="14" bestFit="1" customWidth="1"/>
    <col min="6164" max="6384" width="9.140625" style="14"/>
    <col min="6385" max="6385" width="20.7109375" style="14" customWidth="1"/>
    <col min="6386" max="6386" width="15.7109375" style="14" customWidth="1"/>
    <col min="6387" max="6387" width="14.28515625" style="14" customWidth="1"/>
    <col min="6388" max="6388" width="13.85546875" style="14" customWidth="1"/>
    <col min="6389" max="6389" width="14.5703125" style="14" customWidth="1"/>
    <col min="6390" max="6391" width="9.140625" style="14" customWidth="1"/>
    <col min="6392" max="6392" width="9.5703125" style="14" customWidth="1"/>
    <col min="6393" max="6393" width="9.7109375" style="14" customWidth="1"/>
    <col min="6394" max="6394" width="16.28515625" style="14" customWidth="1"/>
    <col min="6395" max="6395" width="16.140625" style="14" customWidth="1"/>
    <col min="6396" max="6396" width="15.7109375" style="14" customWidth="1"/>
    <col min="6397" max="6399" width="18" style="14" customWidth="1"/>
    <col min="6400" max="6400" width="15.85546875" style="14" customWidth="1"/>
    <col min="6401" max="6401" width="14.42578125" style="14" customWidth="1"/>
    <col min="6402" max="6404" width="15.28515625" style="14" customWidth="1"/>
    <col min="6405" max="6405" width="18.28515625" style="14" customWidth="1"/>
    <col min="6406" max="6406" width="15.5703125" style="14" customWidth="1"/>
    <col min="6407" max="6407" width="14.7109375" style="14" bestFit="1" customWidth="1"/>
    <col min="6408" max="6408" width="15.7109375" style="14" customWidth="1"/>
    <col min="6409" max="6410" width="15.28515625" style="14" customWidth="1"/>
    <col min="6411" max="6411" width="18.28515625" style="14" customWidth="1"/>
    <col min="6412" max="6412" width="15.5703125" style="14" customWidth="1"/>
    <col min="6413" max="6413" width="14.7109375" style="14" bestFit="1" customWidth="1"/>
    <col min="6414" max="6414" width="18.7109375" style="14" customWidth="1"/>
    <col min="6415" max="6416" width="15.28515625" style="14" customWidth="1"/>
    <col min="6417" max="6417" width="18.28515625" style="14" customWidth="1"/>
    <col min="6418" max="6418" width="15.85546875" style="14" bestFit="1" customWidth="1"/>
    <col min="6419" max="6419" width="14.7109375" style="14" bestFit="1" customWidth="1"/>
    <col min="6420" max="6640" width="9.140625" style="14"/>
    <col min="6641" max="6641" width="20.7109375" style="14" customWidth="1"/>
    <col min="6642" max="6642" width="15.7109375" style="14" customWidth="1"/>
    <col min="6643" max="6643" width="14.28515625" style="14" customWidth="1"/>
    <col min="6644" max="6644" width="13.85546875" style="14" customWidth="1"/>
    <col min="6645" max="6645" width="14.5703125" style="14" customWidth="1"/>
    <col min="6646" max="6647" width="9.140625" style="14" customWidth="1"/>
    <col min="6648" max="6648" width="9.5703125" style="14" customWidth="1"/>
    <col min="6649" max="6649" width="9.7109375" style="14" customWidth="1"/>
    <col min="6650" max="6650" width="16.28515625" style="14" customWidth="1"/>
    <col min="6651" max="6651" width="16.140625" style="14" customWidth="1"/>
    <col min="6652" max="6652" width="15.7109375" style="14" customWidth="1"/>
    <col min="6653" max="6655" width="18" style="14" customWidth="1"/>
    <col min="6656" max="6656" width="15.85546875" style="14" customWidth="1"/>
    <col min="6657" max="6657" width="14.42578125" style="14" customWidth="1"/>
    <col min="6658" max="6660" width="15.28515625" style="14" customWidth="1"/>
    <col min="6661" max="6661" width="18.28515625" style="14" customWidth="1"/>
    <col min="6662" max="6662" width="15.5703125" style="14" customWidth="1"/>
    <col min="6663" max="6663" width="14.7109375" style="14" bestFit="1" customWidth="1"/>
    <col min="6664" max="6664" width="15.7109375" style="14" customWidth="1"/>
    <col min="6665" max="6666" width="15.28515625" style="14" customWidth="1"/>
    <col min="6667" max="6667" width="18.28515625" style="14" customWidth="1"/>
    <col min="6668" max="6668" width="15.5703125" style="14" customWidth="1"/>
    <col min="6669" max="6669" width="14.7109375" style="14" bestFit="1" customWidth="1"/>
    <col min="6670" max="6670" width="18.7109375" style="14" customWidth="1"/>
    <col min="6671" max="6672" width="15.28515625" style="14" customWidth="1"/>
    <col min="6673" max="6673" width="18.28515625" style="14" customWidth="1"/>
    <col min="6674" max="6674" width="15.85546875" style="14" bestFit="1" customWidth="1"/>
    <col min="6675" max="6675" width="14.7109375" style="14" bestFit="1" customWidth="1"/>
    <col min="6676" max="6896" width="9.140625" style="14"/>
    <col min="6897" max="6897" width="20.7109375" style="14" customWidth="1"/>
    <col min="6898" max="6898" width="15.7109375" style="14" customWidth="1"/>
    <col min="6899" max="6899" width="14.28515625" style="14" customWidth="1"/>
    <col min="6900" max="6900" width="13.85546875" style="14" customWidth="1"/>
    <col min="6901" max="6901" width="14.5703125" style="14" customWidth="1"/>
    <col min="6902" max="6903" width="9.140625" style="14" customWidth="1"/>
    <col min="6904" max="6904" width="9.5703125" style="14" customWidth="1"/>
    <col min="6905" max="6905" width="9.7109375" style="14" customWidth="1"/>
    <col min="6906" max="6906" width="16.28515625" style="14" customWidth="1"/>
    <col min="6907" max="6907" width="16.140625" style="14" customWidth="1"/>
    <col min="6908" max="6908" width="15.7109375" style="14" customWidth="1"/>
    <col min="6909" max="6911" width="18" style="14" customWidth="1"/>
    <col min="6912" max="6912" width="15.85546875" style="14" customWidth="1"/>
    <col min="6913" max="6913" width="14.42578125" style="14" customWidth="1"/>
    <col min="6914" max="6916" width="15.28515625" style="14" customWidth="1"/>
    <col min="6917" max="6917" width="18.28515625" style="14" customWidth="1"/>
    <col min="6918" max="6918" width="15.5703125" style="14" customWidth="1"/>
    <col min="6919" max="6919" width="14.7109375" style="14" bestFit="1" customWidth="1"/>
    <col min="6920" max="6920" width="15.7109375" style="14" customWidth="1"/>
    <col min="6921" max="6922" width="15.28515625" style="14" customWidth="1"/>
    <col min="6923" max="6923" width="18.28515625" style="14" customWidth="1"/>
    <col min="6924" max="6924" width="15.5703125" style="14" customWidth="1"/>
    <col min="6925" max="6925" width="14.7109375" style="14" bestFit="1" customWidth="1"/>
    <col min="6926" max="6926" width="18.7109375" style="14" customWidth="1"/>
    <col min="6927" max="6928" width="15.28515625" style="14" customWidth="1"/>
    <col min="6929" max="6929" width="18.28515625" style="14" customWidth="1"/>
    <col min="6930" max="6930" width="15.85546875" style="14" bestFit="1" customWidth="1"/>
    <col min="6931" max="6931" width="14.7109375" style="14" bestFit="1" customWidth="1"/>
    <col min="6932" max="7152" width="9.140625" style="14"/>
    <col min="7153" max="7153" width="20.7109375" style="14" customWidth="1"/>
    <col min="7154" max="7154" width="15.7109375" style="14" customWidth="1"/>
    <col min="7155" max="7155" width="14.28515625" style="14" customWidth="1"/>
    <col min="7156" max="7156" width="13.85546875" style="14" customWidth="1"/>
    <col min="7157" max="7157" width="14.5703125" style="14" customWidth="1"/>
    <col min="7158" max="7159" width="9.140625" style="14" customWidth="1"/>
    <col min="7160" max="7160" width="9.5703125" style="14" customWidth="1"/>
    <col min="7161" max="7161" width="9.7109375" style="14" customWidth="1"/>
    <col min="7162" max="7162" width="16.28515625" style="14" customWidth="1"/>
    <col min="7163" max="7163" width="16.140625" style="14" customWidth="1"/>
    <col min="7164" max="7164" width="15.7109375" style="14" customWidth="1"/>
    <col min="7165" max="7167" width="18" style="14" customWidth="1"/>
    <col min="7168" max="7168" width="15.85546875" style="14" customWidth="1"/>
    <col min="7169" max="7169" width="14.42578125" style="14" customWidth="1"/>
    <col min="7170" max="7172" width="15.28515625" style="14" customWidth="1"/>
    <col min="7173" max="7173" width="18.28515625" style="14" customWidth="1"/>
    <col min="7174" max="7174" width="15.5703125" style="14" customWidth="1"/>
    <col min="7175" max="7175" width="14.7109375" style="14" bestFit="1" customWidth="1"/>
    <col min="7176" max="7176" width="15.7109375" style="14" customWidth="1"/>
    <col min="7177" max="7178" width="15.28515625" style="14" customWidth="1"/>
    <col min="7179" max="7179" width="18.28515625" style="14" customWidth="1"/>
    <col min="7180" max="7180" width="15.5703125" style="14" customWidth="1"/>
    <col min="7181" max="7181" width="14.7109375" style="14" bestFit="1" customWidth="1"/>
    <col min="7182" max="7182" width="18.7109375" style="14" customWidth="1"/>
    <col min="7183" max="7184" width="15.28515625" style="14" customWidth="1"/>
    <col min="7185" max="7185" width="18.28515625" style="14" customWidth="1"/>
    <col min="7186" max="7186" width="15.85546875" style="14" bestFit="1" customWidth="1"/>
    <col min="7187" max="7187" width="14.7109375" style="14" bestFit="1" customWidth="1"/>
    <col min="7188" max="7408" width="9.140625" style="14"/>
    <col min="7409" max="7409" width="20.7109375" style="14" customWidth="1"/>
    <col min="7410" max="7410" width="15.7109375" style="14" customWidth="1"/>
    <col min="7411" max="7411" width="14.28515625" style="14" customWidth="1"/>
    <col min="7412" max="7412" width="13.85546875" style="14" customWidth="1"/>
    <col min="7413" max="7413" width="14.5703125" style="14" customWidth="1"/>
    <col min="7414" max="7415" width="9.140625" style="14" customWidth="1"/>
    <col min="7416" max="7416" width="9.5703125" style="14" customWidth="1"/>
    <col min="7417" max="7417" width="9.7109375" style="14" customWidth="1"/>
    <col min="7418" max="7418" width="16.28515625" style="14" customWidth="1"/>
    <col min="7419" max="7419" width="16.140625" style="14" customWidth="1"/>
    <col min="7420" max="7420" width="15.7109375" style="14" customWidth="1"/>
    <col min="7421" max="7423" width="18" style="14" customWidth="1"/>
    <col min="7424" max="7424" width="15.85546875" style="14" customWidth="1"/>
    <col min="7425" max="7425" width="14.42578125" style="14" customWidth="1"/>
    <col min="7426" max="7428" width="15.28515625" style="14" customWidth="1"/>
    <col min="7429" max="7429" width="18.28515625" style="14" customWidth="1"/>
    <col min="7430" max="7430" width="15.5703125" style="14" customWidth="1"/>
    <col min="7431" max="7431" width="14.7109375" style="14" bestFit="1" customWidth="1"/>
    <col min="7432" max="7432" width="15.7109375" style="14" customWidth="1"/>
    <col min="7433" max="7434" width="15.28515625" style="14" customWidth="1"/>
    <col min="7435" max="7435" width="18.28515625" style="14" customWidth="1"/>
    <col min="7436" max="7436" width="15.5703125" style="14" customWidth="1"/>
    <col min="7437" max="7437" width="14.7109375" style="14" bestFit="1" customWidth="1"/>
    <col min="7438" max="7438" width="18.7109375" style="14" customWidth="1"/>
    <col min="7439" max="7440" width="15.28515625" style="14" customWidth="1"/>
    <col min="7441" max="7441" width="18.28515625" style="14" customWidth="1"/>
    <col min="7442" max="7442" width="15.85546875" style="14" bestFit="1" customWidth="1"/>
    <col min="7443" max="7443" width="14.7109375" style="14" bestFit="1" customWidth="1"/>
    <col min="7444" max="7664" width="9.140625" style="14"/>
    <col min="7665" max="7665" width="20.7109375" style="14" customWidth="1"/>
    <col min="7666" max="7666" width="15.7109375" style="14" customWidth="1"/>
    <col min="7667" max="7667" width="14.28515625" style="14" customWidth="1"/>
    <col min="7668" max="7668" width="13.85546875" style="14" customWidth="1"/>
    <col min="7669" max="7669" width="14.5703125" style="14" customWidth="1"/>
    <col min="7670" max="7671" width="9.140625" style="14" customWidth="1"/>
    <col min="7672" max="7672" width="9.5703125" style="14" customWidth="1"/>
    <col min="7673" max="7673" width="9.7109375" style="14" customWidth="1"/>
    <col min="7674" max="7674" width="16.28515625" style="14" customWidth="1"/>
    <col min="7675" max="7675" width="16.140625" style="14" customWidth="1"/>
    <col min="7676" max="7676" width="15.7109375" style="14" customWidth="1"/>
    <col min="7677" max="7679" width="18" style="14" customWidth="1"/>
    <col min="7680" max="7680" width="15.85546875" style="14" customWidth="1"/>
    <col min="7681" max="7681" width="14.42578125" style="14" customWidth="1"/>
    <col min="7682" max="7684" width="15.28515625" style="14" customWidth="1"/>
    <col min="7685" max="7685" width="18.28515625" style="14" customWidth="1"/>
    <col min="7686" max="7686" width="15.5703125" style="14" customWidth="1"/>
    <col min="7687" max="7687" width="14.7109375" style="14" bestFit="1" customWidth="1"/>
    <col min="7688" max="7688" width="15.7109375" style="14" customWidth="1"/>
    <col min="7689" max="7690" width="15.28515625" style="14" customWidth="1"/>
    <col min="7691" max="7691" width="18.28515625" style="14" customWidth="1"/>
    <col min="7692" max="7692" width="15.5703125" style="14" customWidth="1"/>
    <col min="7693" max="7693" width="14.7109375" style="14" bestFit="1" customWidth="1"/>
    <col min="7694" max="7694" width="18.7109375" style="14" customWidth="1"/>
    <col min="7695" max="7696" width="15.28515625" style="14" customWidth="1"/>
    <col min="7697" max="7697" width="18.28515625" style="14" customWidth="1"/>
    <col min="7698" max="7698" width="15.85546875" style="14" bestFit="1" customWidth="1"/>
    <col min="7699" max="7699" width="14.7109375" style="14" bestFit="1" customWidth="1"/>
    <col min="7700" max="7920" width="9.140625" style="14"/>
    <col min="7921" max="7921" width="20.7109375" style="14" customWidth="1"/>
    <col min="7922" max="7922" width="15.7109375" style="14" customWidth="1"/>
    <col min="7923" max="7923" width="14.28515625" style="14" customWidth="1"/>
    <col min="7924" max="7924" width="13.85546875" style="14" customWidth="1"/>
    <col min="7925" max="7925" width="14.5703125" style="14" customWidth="1"/>
    <col min="7926" max="7927" width="9.140625" style="14" customWidth="1"/>
    <col min="7928" max="7928" width="9.5703125" style="14" customWidth="1"/>
    <col min="7929" max="7929" width="9.7109375" style="14" customWidth="1"/>
    <col min="7930" max="7930" width="16.28515625" style="14" customWidth="1"/>
    <col min="7931" max="7931" width="16.140625" style="14" customWidth="1"/>
    <col min="7932" max="7932" width="15.7109375" style="14" customWidth="1"/>
    <col min="7933" max="7935" width="18" style="14" customWidth="1"/>
    <col min="7936" max="7936" width="15.85546875" style="14" customWidth="1"/>
    <col min="7937" max="7937" width="14.42578125" style="14" customWidth="1"/>
    <col min="7938" max="7940" width="15.28515625" style="14" customWidth="1"/>
    <col min="7941" max="7941" width="18.28515625" style="14" customWidth="1"/>
    <col min="7942" max="7942" width="15.5703125" style="14" customWidth="1"/>
    <col min="7943" max="7943" width="14.7109375" style="14" bestFit="1" customWidth="1"/>
    <col min="7944" max="7944" width="15.7109375" style="14" customWidth="1"/>
    <col min="7945" max="7946" width="15.28515625" style="14" customWidth="1"/>
    <col min="7947" max="7947" width="18.28515625" style="14" customWidth="1"/>
    <col min="7948" max="7948" width="15.5703125" style="14" customWidth="1"/>
    <col min="7949" max="7949" width="14.7109375" style="14" bestFit="1" customWidth="1"/>
    <col min="7950" max="7950" width="18.7109375" style="14" customWidth="1"/>
    <col min="7951" max="7952" width="15.28515625" style="14" customWidth="1"/>
    <col min="7953" max="7953" width="18.28515625" style="14" customWidth="1"/>
    <col min="7954" max="7954" width="15.85546875" style="14" bestFit="1" customWidth="1"/>
    <col min="7955" max="7955" width="14.7109375" style="14" bestFit="1" customWidth="1"/>
    <col min="7956" max="8176" width="9.140625" style="14"/>
    <col min="8177" max="8177" width="20.7109375" style="14" customWidth="1"/>
    <col min="8178" max="8178" width="15.7109375" style="14" customWidth="1"/>
    <col min="8179" max="8179" width="14.28515625" style="14" customWidth="1"/>
    <col min="8180" max="8180" width="13.85546875" style="14" customWidth="1"/>
    <col min="8181" max="8181" width="14.5703125" style="14" customWidth="1"/>
    <col min="8182" max="8183" width="9.140625" style="14" customWidth="1"/>
    <col min="8184" max="8184" width="9.5703125" style="14" customWidth="1"/>
    <col min="8185" max="8185" width="9.7109375" style="14" customWidth="1"/>
    <col min="8186" max="8186" width="16.28515625" style="14" customWidth="1"/>
    <col min="8187" max="8187" width="16.140625" style="14" customWidth="1"/>
    <col min="8188" max="8188" width="15.7109375" style="14" customWidth="1"/>
    <col min="8189" max="8191" width="18" style="14" customWidth="1"/>
    <col min="8192" max="8192" width="15.85546875" style="14" customWidth="1"/>
    <col min="8193" max="8193" width="14.42578125" style="14" customWidth="1"/>
    <col min="8194" max="8196" width="15.28515625" style="14" customWidth="1"/>
    <col min="8197" max="8197" width="18.28515625" style="14" customWidth="1"/>
    <col min="8198" max="8198" width="15.5703125" style="14" customWidth="1"/>
    <col min="8199" max="8199" width="14.7109375" style="14" bestFit="1" customWidth="1"/>
    <col min="8200" max="8200" width="15.7109375" style="14" customWidth="1"/>
    <col min="8201" max="8202" width="15.28515625" style="14" customWidth="1"/>
    <col min="8203" max="8203" width="18.28515625" style="14" customWidth="1"/>
    <col min="8204" max="8204" width="15.5703125" style="14" customWidth="1"/>
    <col min="8205" max="8205" width="14.7109375" style="14" bestFit="1" customWidth="1"/>
    <col min="8206" max="8206" width="18.7109375" style="14" customWidth="1"/>
    <col min="8207" max="8208" width="15.28515625" style="14" customWidth="1"/>
    <col min="8209" max="8209" width="18.28515625" style="14" customWidth="1"/>
    <col min="8210" max="8210" width="15.85546875" style="14" bestFit="1" customWidth="1"/>
    <col min="8211" max="8211" width="14.7109375" style="14" bestFit="1" customWidth="1"/>
    <col min="8212" max="8432" width="9.140625" style="14"/>
    <col min="8433" max="8433" width="20.7109375" style="14" customWidth="1"/>
    <col min="8434" max="8434" width="15.7109375" style="14" customWidth="1"/>
    <col min="8435" max="8435" width="14.28515625" style="14" customWidth="1"/>
    <col min="8436" max="8436" width="13.85546875" style="14" customWidth="1"/>
    <col min="8437" max="8437" width="14.5703125" style="14" customWidth="1"/>
    <col min="8438" max="8439" width="9.140625" style="14" customWidth="1"/>
    <col min="8440" max="8440" width="9.5703125" style="14" customWidth="1"/>
    <col min="8441" max="8441" width="9.7109375" style="14" customWidth="1"/>
    <col min="8442" max="8442" width="16.28515625" style="14" customWidth="1"/>
    <col min="8443" max="8443" width="16.140625" style="14" customWidth="1"/>
    <col min="8444" max="8444" width="15.7109375" style="14" customWidth="1"/>
    <col min="8445" max="8447" width="18" style="14" customWidth="1"/>
    <col min="8448" max="8448" width="15.85546875" style="14" customWidth="1"/>
    <col min="8449" max="8449" width="14.42578125" style="14" customWidth="1"/>
    <col min="8450" max="8452" width="15.28515625" style="14" customWidth="1"/>
    <col min="8453" max="8453" width="18.28515625" style="14" customWidth="1"/>
    <col min="8454" max="8454" width="15.5703125" style="14" customWidth="1"/>
    <col min="8455" max="8455" width="14.7109375" style="14" bestFit="1" customWidth="1"/>
    <col min="8456" max="8456" width="15.7109375" style="14" customWidth="1"/>
    <col min="8457" max="8458" width="15.28515625" style="14" customWidth="1"/>
    <col min="8459" max="8459" width="18.28515625" style="14" customWidth="1"/>
    <col min="8460" max="8460" width="15.5703125" style="14" customWidth="1"/>
    <col min="8461" max="8461" width="14.7109375" style="14" bestFit="1" customWidth="1"/>
    <col min="8462" max="8462" width="18.7109375" style="14" customWidth="1"/>
    <col min="8463" max="8464" width="15.28515625" style="14" customWidth="1"/>
    <col min="8465" max="8465" width="18.28515625" style="14" customWidth="1"/>
    <col min="8466" max="8466" width="15.85546875" style="14" bestFit="1" customWidth="1"/>
    <col min="8467" max="8467" width="14.7109375" style="14" bestFit="1" customWidth="1"/>
    <col min="8468" max="8688" width="9.140625" style="14"/>
    <col min="8689" max="8689" width="20.7109375" style="14" customWidth="1"/>
    <col min="8690" max="8690" width="15.7109375" style="14" customWidth="1"/>
    <col min="8691" max="8691" width="14.28515625" style="14" customWidth="1"/>
    <col min="8692" max="8692" width="13.85546875" style="14" customWidth="1"/>
    <col min="8693" max="8693" width="14.5703125" style="14" customWidth="1"/>
    <col min="8694" max="8695" width="9.140625" style="14" customWidth="1"/>
    <col min="8696" max="8696" width="9.5703125" style="14" customWidth="1"/>
    <col min="8697" max="8697" width="9.7109375" style="14" customWidth="1"/>
    <col min="8698" max="8698" width="16.28515625" style="14" customWidth="1"/>
    <col min="8699" max="8699" width="16.140625" style="14" customWidth="1"/>
    <col min="8700" max="8700" width="15.7109375" style="14" customWidth="1"/>
    <col min="8701" max="8703" width="18" style="14" customWidth="1"/>
    <col min="8704" max="8704" width="15.85546875" style="14" customWidth="1"/>
    <col min="8705" max="8705" width="14.42578125" style="14" customWidth="1"/>
    <col min="8706" max="8708" width="15.28515625" style="14" customWidth="1"/>
    <col min="8709" max="8709" width="18.28515625" style="14" customWidth="1"/>
    <col min="8710" max="8710" width="15.5703125" style="14" customWidth="1"/>
    <col min="8711" max="8711" width="14.7109375" style="14" bestFit="1" customWidth="1"/>
    <col min="8712" max="8712" width="15.7109375" style="14" customWidth="1"/>
    <col min="8713" max="8714" width="15.28515625" style="14" customWidth="1"/>
    <col min="8715" max="8715" width="18.28515625" style="14" customWidth="1"/>
    <col min="8716" max="8716" width="15.5703125" style="14" customWidth="1"/>
    <col min="8717" max="8717" width="14.7109375" style="14" bestFit="1" customWidth="1"/>
    <col min="8718" max="8718" width="18.7109375" style="14" customWidth="1"/>
    <col min="8719" max="8720" width="15.28515625" style="14" customWidth="1"/>
    <col min="8721" max="8721" width="18.28515625" style="14" customWidth="1"/>
    <col min="8722" max="8722" width="15.85546875" style="14" bestFit="1" customWidth="1"/>
    <col min="8723" max="8723" width="14.7109375" style="14" bestFit="1" customWidth="1"/>
    <col min="8724" max="8944" width="9.140625" style="14"/>
    <col min="8945" max="8945" width="20.7109375" style="14" customWidth="1"/>
    <col min="8946" max="8946" width="15.7109375" style="14" customWidth="1"/>
    <col min="8947" max="8947" width="14.28515625" style="14" customWidth="1"/>
    <col min="8948" max="8948" width="13.85546875" style="14" customWidth="1"/>
    <col min="8949" max="8949" width="14.5703125" style="14" customWidth="1"/>
    <col min="8950" max="8951" width="9.140625" style="14" customWidth="1"/>
    <col min="8952" max="8952" width="9.5703125" style="14" customWidth="1"/>
    <col min="8953" max="8953" width="9.7109375" style="14" customWidth="1"/>
    <col min="8954" max="8954" width="16.28515625" style="14" customWidth="1"/>
    <col min="8955" max="8955" width="16.140625" style="14" customWidth="1"/>
    <col min="8956" max="8956" width="15.7109375" style="14" customWidth="1"/>
    <col min="8957" max="8959" width="18" style="14" customWidth="1"/>
    <col min="8960" max="8960" width="15.85546875" style="14" customWidth="1"/>
    <col min="8961" max="8961" width="14.42578125" style="14" customWidth="1"/>
    <col min="8962" max="8964" width="15.28515625" style="14" customWidth="1"/>
    <col min="8965" max="8965" width="18.28515625" style="14" customWidth="1"/>
    <col min="8966" max="8966" width="15.5703125" style="14" customWidth="1"/>
    <col min="8967" max="8967" width="14.7109375" style="14" bestFit="1" customWidth="1"/>
    <col min="8968" max="8968" width="15.7109375" style="14" customWidth="1"/>
    <col min="8969" max="8970" width="15.28515625" style="14" customWidth="1"/>
    <col min="8971" max="8971" width="18.28515625" style="14" customWidth="1"/>
    <col min="8972" max="8972" width="15.5703125" style="14" customWidth="1"/>
    <col min="8973" max="8973" width="14.7109375" style="14" bestFit="1" customWidth="1"/>
    <col min="8974" max="8974" width="18.7109375" style="14" customWidth="1"/>
    <col min="8975" max="8976" width="15.28515625" style="14" customWidth="1"/>
    <col min="8977" max="8977" width="18.28515625" style="14" customWidth="1"/>
    <col min="8978" max="8978" width="15.85546875" style="14" bestFit="1" customWidth="1"/>
    <col min="8979" max="8979" width="14.7109375" style="14" bestFit="1" customWidth="1"/>
    <col min="8980" max="9200" width="9.140625" style="14"/>
    <col min="9201" max="9201" width="20.7109375" style="14" customWidth="1"/>
    <col min="9202" max="9202" width="15.7109375" style="14" customWidth="1"/>
    <col min="9203" max="9203" width="14.28515625" style="14" customWidth="1"/>
    <col min="9204" max="9204" width="13.85546875" style="14" customWidth="1"/>
    <col min="9205" max="9205" width="14.5703125" style="14" customWidth="1"/>
    <col min="9206" max="9207" width="9.140625" style="14" customWidth="1"/>
    <col min="9208" max="9208" width="9.5703125" style="14" customWidth="1"/>
    <col min="9209" max="9209" width="9.7109375" style="14" customWidth="1"/>
    <col min="9210" max="9210" width="16.28515625" style="14" customWidth="1"/>
    <col min="9211" max="9211" width="16.140625" style="14" customWidth="1"/>
    <col min="9212" max="9212" width="15.7109375" style="14" customWidth="1"/>
    <col min="9213" max="9215" width="18" style="14" customWidth="1"/>
    <col min="9216" max="9216" width="15.85546875" style="14" customWidth="1"/>
    <col min="9217" max="9217" width="14.42578125" style="14" customWidth="1"/>
    <col min="9218" max="9220" width="15.28515625" style="14" customWidth="1"/>
    <col min="9221" max="9221" width="18.28515625" style="14" customWidth="1"/>
    <col min="9222" max="9222" width="15.5703125" style="14" customWidth="1"/>
    <col min="9223" max="9223" width="14.7109375" style="14" bestFit="1" customWidth="1"/>
    <col min="9224" max="9224" width="15.7109375" style="14" customWidth="1"/>
    <col min="9225" max="9226" width="15.28515625" style="14" customWidth="1"/>
    <col min="9227" max="9227" width="18.28515625" style="14" customWidth="1"/>
    <col min="9228" max="9228" width="15.5703125" style="14" customWidth="1"/>
    <col min="9229" max="9229" width="14.7109375" style="14" bestFit="1" customWidth="1"/>
    <col min="9230" max="9230" width="18.7109375" style="14" customWidth="1"/>
    <col min="9231" max="9232" width="15.28515625" style="14" customWidth="1"/>
    <col min="9233" max="9233" width="18.28515625" style="14" customWidth="1"/>
    <col min="9234" max="9234" width="15.85546875" style="14" bestFit="1" customWidth="1"/>
    <col min="9235" max="9235" width="14.7109375" style="14" bestFit="1" customWidth="1"/>
    <col min="9236" max="9456" width="9.140625" style="14"/>
    <col min="9457" max="9457" width="20.7109375" style="14" customWidth="1"/>
    <col min="9458" max="9458" width="15.7109375" style="14" customWidth="1"/>
    <col min="9459" max="9459" width="14.28515625" style="14" customWidth="1"/>
    <col min="9460" max="9460" width="13.85546875" style="14" customWidth="1"/>
    <col min="9461" max="9461" width="14.5703125" style="14" customWidth="1"/>
    <col min="9462" max="9463" width="9.140625" style="14" customWidth="1"/>
    <col min="9464" max="9464" width="9.5703125" style="14" customWidth="1"/>
    <col min="9465" max="9465" width="9.7109375" style="14" customWidth="1"/>
    <col min="9466" max="9466" width="16.28515625" style="14" customWidth="1"/>
    <col min="9467" max="9467" width="16.140625" style="14" customWidth="1"/>
    <col min="9468" max="9468" width="15.7109375" style="14" customWidth="1"/>
    <col min="9469" max="9471" width="18" style="14" customWidth="1"/>
    <col min="9472" max="9472" width="15.85546875" style="14" customWidth="1"/>
    <col min="9473" max="9473" width="14.42578125" style="14" customWidth="1"/>
    <col min="9474" max="9476" width="15.28515625" style="14" customWidth="1"/>
    <col min="9477" max="9477" width="18.28515625" style="14" customWidth="1"/>
    <col min="9478" max="9478" width="15.5703125" style="14" customWidth="1"/>
    <col min="9479" max="9479" width="14.7109375" style="14" bestFit="1" customWidth="1"/>
    <col min="9480" max="9480" width="15.7109375" style="14" customWidth="1"/>
    <col min="9481" max="9482" width="15.28515625" style="14" customWidth="1"/>
    <col min="9483" max="9483" width="18.28515625" style="14" customWidth="1"/>
    <col min="9484" max="9484" width="15.5703125" style="14" customWidth="1"/>
    <col min="9485" max="9485" width="14.7109375" style="14" bestFit="1" customWidth="1"/>
    <col min="9486" max="9486" width="18.7109375" style="14" customWidth="1"/>
    <col min="9487" max="9488" width="15.28515625" style="14" customWidth="1"/>
    <col min="9489" max="9489" width="18.28515625" style="14" customWidth="1"/>
    <col min="9490" max="9490" width="15.85546875" style="14" bestFit="1" customWidth="1"/>
    <col min="9491" max="9491" width="14.7109375" style="14" bestFit="1" customWidth="1"/>
    <col min="9492" max="9712" width="9.140625" style="14"/>
    <col min="9713" max="9713" width="20.7109375" style="14" customWidth="1"/>
    <col min="9714" max="9714" width="15.7109375" style="14" customWidth="1"/>
    <col min="9715" max="9715" width="14.28515625" style="14" customWidth="1"/>
    <col min="9716" max="9716" width="13.85546875" style="14" customWidth="1"/>
    <col min="9717" max="9717" width="14.5703125" style="14" customWidth="1"/>
    <col min="9718" max="9719" width="9.140625" style="14" customWidth="1"/>
    <col min="9720" max="9720" width="9.5703125" style="14" customWidth="1"/>
    <col min="9721" max="9721" width="9.7109375" style="14" customWidth="1"/>
    <col min="9722" max="9722" width="16.28515625" style="14" customWidth="1"/>
    <col min="9723" max="9723" width="16.140625" style="14" customWidth="1"/>
    <col min="9724" max="9724" width="15.7109375" style="14" customWidth="1"/>
    <col min="9725" max="9727" width="18" style="14" customWidth="1"/>
    <col min="9728" max="9728" width="15.85546875" style="14" customWidth="1"/>
    <col min="9729" max="9729" width="14.42578125" style="14" customWidth="1"/>
    <col min="9730" max="9732" width="15.28515625" style="14" customWidth="1"/>
    <col min="9733" max="9733" width="18.28515625" style="14" customWidth="1"/>
    <col min="9734" max="9734" width="15.5703125" style="14" customWidth="1"/>
    <col min="9735" max="9735" width="14.7109375" style="14" bestFit="1" customWidth="1"/>
    <col min="9736" max="9736" width="15.7109375" style="14" customWidth="1"/>
    <col min="9737" max="9738" width="15.28515625" style="14" customWidth="1"/>
    <col min="9739" max="9739" width="18.28515625" style="14" customWidth="1"/>
    <col min="9740" max="9740" width="15.5703125" style="14" customWidth="1"/>
    <col min="9741" max="9741" width="14.7109375" style="14" bestFit="1" customWidth="1"/>
    <col min="9742" max="9742" width="18.7109375" style="14" customWidth="1"/>
    <col min="9743" max="9744" width="15.28515625" style="14" customWidth="1"/>
    <col min="9745" max="9745" width="18.28515625" style="14" customWidth="1"/>
    <col min="9746" max="9746" width="15.85546875" style="14" bestFit="1" customWidth="1"/>
    <col min="9747" max="9747" width="14.7109375" style="14" bestFit="1" customWidth="1"/>
    <col min="9748" max="9968" width="9.140625" style="14"/>
    <col min="9969" max="9969" width="20.7109375" style="14" customWidth="1"/>
    <col min="9970" max="9970" width="15.7109375" style="14" customWidth="1"/>
    <col min="9971" max="9971" width="14.28515625" style="14" customWidth="1"/>
    <col min="9972" max="9972" width="13.85546875" style="14" customWidth="1"/>
    <col min="9973" max="9973" width="14.5703125" style="14" customWidth="1"/>
    <col min="9974" max="9975" width="9.140625" style="14" customWidth="1"/>
    <col min="9976" max="9976" width="9.5703125" style="14" customWidth="1"/>
    <col min="9977" max="9977" width="9.7109375" style="14" customWidth="1"/>
    <col min="9978" max="9978" width="16.28515625" style="14" customWidth="1"/>
    <col min="9979" max="9979" width="16.140625" style="14" customWidth="1"/>
    <col min="9980" max="9980" width="15.7109375" style="14" customWidth="1"/>
    <col min="9981" max="9983" width="18" style="14" customWidth="1"/>
    <col min="9984" max="9984" width="15.85546875" style="14" customWidth="1"/>
    <col min="9985" max="9985" width="14.42578125" style="14" customWidth="1"/>
    <col min="9986" max="9988" width="15.28515625" style="14" customWidth="1"/>
    <col min="9989" max="9989" width="18.28515625" style="14" customWidth="1"/>
    <col min="9990" max="9990" width="15.5703125" style="14" customWidth="1"/>
    <col min="9991" max="9991" width="14.7109375" style="14" bestFit="1" customWidth="1"/>
    <col min="9992" max="9992" width="15.7109375" style="14" customWidth="1"/>
    <col min="9993" max="9994" width="15.28515625" style="14" customWidth="1"/>
    <col min="9995" max="9995" width="18.28515625" style="14" customWidth="1"/>
    <col min="9996" max="9996" width="15.5703125" style="14" customWidth="1"/>
    <col min="9997" max="9997" width="14.7109375" style="14" bestFit="1" customWidth="1"/>
    <col min="9998" max="9998" width="18.7109375" style="14" customWidth="1"/>
    <col min="9999" max="10000" width="15.28515625" style="14" customWidth="1"/>
    <col min="10001" max="10001" width="18.28515625" style="14" customWidth="1"/>
    <col min="10002" max="10002" width="15.85546875" style="14" bestFit="1" customWidth="1"/>
    <col min="10003" max="10003" width="14.7109375" style="14" bestFit="1" customWidth="1"/>
    <col min="10004" max="10224" width="9.140625" style="14"/>
    <col min="10225" max="10225" width="20.7109375" style="14" customWidth="1"/>
    <col min="10226" max="10226" width="15.7109375" style="14" customWidth="1"/>
    <col min="10227" max="10227" width="14.28515625" style="14" customWidth="1"/>
    <col min="10228" max="10228" width="13.85546875" style="14" customWidth="1"/>
    <col min="10229" max="10229" width="14.5703125" style="14" customWidth="1"/>
    <col min="10230" max="10231" width="9.140625" style="14" customWidth="1"/>
    <col min="10232" max="10232" width="9.5703125" style="14" customWidth="1"/>
    <col min="10233" max="10233" width="9.7109375" style="14" customWidth="1"/>
    <col min="10234" max="10234" width="16.28515625" style="14" customWidth="1"/>
    <col min="10235" max="10235" width="16.140625" style="14" customWidth="1"/>
    <col min="10236" max="10236" width="15.7109375" style="14" customWidth="1"/>
    <col min="10237" max="10239" width="18" style="14" customWidth="1"/>
    <col min="10240" max="10240" width="15.85546875" style="14" customWidth="1"/>
    <col min="10241" max="10241" width="14.42578125" style="14" customWidth="1"/>
    <col min="10242" max="10244" width="15.28515625" style="14" customWidth="1"/>
    <col min="10245" max="10245" width="18.28515625" style="14" customWidth="1"/>
    <col min="10246" max="10246" width="15.5703125" style="14" customWidth="1"/>
    <col min="10247" max="10247" width="14.7109375" style="14" bestFit="1" customWidth="1"/>
    <col min="10248" max="10248" width="15.7109375" style="14" customWidth="1"/>
    <col min="10249" max="10250" width="15.28515625" style="14" customWidth="1"/>
    <col min="10251" max="10251" width="18.28515625" style="14" customWidth="1"/>
    <col min="10252" max="10252" width="15.5703125" style="14" customWidth="1"/>
    <col min="10253" max="10253" width="14.7109375" style="14" bestFit="1" customWidth="1"/>
    <col min="10254" max="10254" width="18.7109375" style="14" customWidth="1"/>
    <col min="10255" max="10256" width="15.28515625" style="14" customWidth="1"/>
    <col min="10257" max="10257" width="18.28515625" style="14" customWidth="1"/>
    <col min="10258" max="10258" width="15.85546875" style="14" bestFit="1" customWidth="1"/>
    <col min="10259" max="10259" width="14.7109375" style="14" bestFit="1" customWidth="1"/>
    <col min="10260" max="10480" width="9.140625" style="14"/>
    <col min="10481" max="10481" width="20.7109375" style="14" customWidth="1"/>
    <col min="10482" max="10482" width="15.7109375" style="14" customWidth="1"/>
    <col min="10483" max="10483" width="14.28515625" style="14" customWidth="1"/>
    <col min="10484" max="10484" width="13.85546875" style="14" customWidth="1"/>
    <col min="10485" max="10485" width="14.5703125" style="14" customWidth="1"/>
    <col min="10486" max="10487" width="9.140625" style="14" customWidth="1"/>
    <col min="10488" max="10488" width="9.5703125" style="14" customWidth="1"/>
    <col min="10489" max="10489" width="9.7109375" style="14" customWidth="1"/>
    <col min="10490" max="10490" width="16.28515625" style="14" customWidth="1"/>
    <col min="10491" max="10491" width="16.140625" style="14" customWidth="1"/>
    <col min="10492" max="10492" width="15.7109375" style="14" customWidth="1"/>
    <col min="10493" max="10495" width="18" style="14" customWidth="1"/>
    <col min="10496" max="10496" width="15.85546875" style="14" customWidth="1"/>
    <col min="10497" max="10497" width="14.42578125" style="14" customWidth="1"/>
    <col min="10498" max="10500" width="15.28515625" style="14" customWidth="1"/>
    <col min="10501" max="10501" width="18.28515625" style="14" customWidth="1"/>
    <col min="10502" max="10502" width="15.5703125" style="14" customWidth="1"/>
    <col min="10503" max="10503" width="14.7109375" style="14" bestFit="1" customWidth="1"/>
    <col min="10504" max="10504" width="15.7109375" style="14" customWidth="1"/>
    <col min="10505" max="10506" width="15.28515625" style="14" customWidth="1"/>
    <col min="10507" max="10507" width="18.28515625" style="14" customWidth="1"/>
    <col min="10508" max="10508" width="15.5703125" style="14" customWidth="1"/>
    <col min="10509" max="10509" width="14.7109375" style="14" bestFit="1" customWidth="1"/>
    <col min="10510" max="10510" width="18.7109375" style="14" customWidth="1"/>
    <col min="10511" max="10512" width="15.28515625" style="14" customWidth="1"/>
    <col min="10513" max="10513" width="18.28515625" style="14" customWidth="1"/>
    <col min="10514" max="10514" width="15.85546875" style="14" bestFit="1" customWidth="1"/>
    <col min="10515" max="10515" width="14.7109375" style="14" bestFit="1" customWidth="1"/>
    <col min="10516" max="10736" width="9.140625" style="14"/>
    <col min="10737" max="10737" width="20.7109375" style="14" customWidth="1"/>
    <col min="10738" max="10738" width="15.7109375" style="14" customWidth="1"/>
    <col min="10739" max="10739" width="14.28515625" style="14" customWidth="1"/>
    <col min="10740" max="10740" width="13.85546875" style="14" customWidth="1"/>
    <col min="10741" max="10741" width="14.5703125" style="14" customWidth="1"/>
    <col min="10742" max="10743" width="9.140625" style="14" customWidth="1"/>
    <col min="10744" max="10744" width="9.5703125" style="14" customWidth="1"/>
    <col min="10745" max="10745" width="9.7109375" style="14" customWidth="1"/>
    <col min="10746" max="10746" width="16.28515625" style="14" customWidth="1"/>
    <col min="10747" max="10747" width="16.140625" style="14" customWidth="1"/>
    <col min="10748" max="10748" width="15.7109375" style="14" customWidth="1"/>
    <col min="10749" max="10751" width="18" style="14" customWidth="1"/>
    <col min="10752" max="10752" width="15.85546875" style="14" customWidth="1"/>
    <col min="10753" max="10753" width="14.42578125" style="14" customWidth="1"/>
    <col min="10754" max="10756" width="15.28515625" style="14" customWidth="1"/>
    <col min="10757" max="10757" width="18.28515625" style="14" customWidth="1"/>
    <col min="10758" max="10758" width="15.5703125" style="14" customWidth="1"/>
    <col min="10759" max="10759" width="14.7109375" style="14" bestFit="1" customWidth="1"/>
    <col min="10760" max="10760" width="15.7109375" style="14" customWidth="1"/>
    <col min="10761" max="10762" width="15.28515625" style="14" customWidth="1"/>
    <col min="10763" max="10763" width="18.28515625" style="14" customWidth="1"/>
    <col min="10764" max="10764" width="15.5703125" style="14" customWidth="1"/>
    <col min="10765" max="10765" width="14.7109375" style="14" bestFit="1" customWidth="1"/>
    <col min="10766" max="10766" width="18.7109375" style="14" customWidth="1"/>
    <col min="10767" max="10768" width="15.28515625" style="14" customWidth="1"/>
    <col min="10769" max="10769" width="18.28515625" style="14" customWidth="1"/>
    <col min="10770" max="10770" width="15.85546875" style="14" bestFit="1" customWidth="1"/>
    <col min="10771" max="10771" width="14.7109375" style="14" bestFit="1" customWidth="1"/>
    <col min="10772" max="10992" width="9.140625" style="14"/>
    <col min="10993" max="10993" width="20.7109375" style="14" customWidth="1"/>
    <col min="10994" max="10994" width="15.7109375" style="14" customWidth="1"/>
    <col min="10995" max="10995" width="14.28515625" style="14" customWidth="1"/>
    <col min="10996" max="10996" width="13.85546875" style="14" customWidth="1"/>
    <col min="10997" max="10997" width="14.5703125" style="14" customWidth="1"/>
    <col min="10998" max="10999" width="9.140625" style="14" customWidth="1"/>
    <col min="11000" max="11000" width="9.5703125" style="14" customWidth="1"/>
    <col min="11001" max="11001" width="9.7109375" style="14" customWidth="1"/>
    <col min="11002" max="11002" width="16.28515625" style="14" customWidth="1"/>
    <col min="11003" max="11003" width="16.140625" style="14" customWidth="1"/>
    <col min="11004" max="11004" width="15.7109375" style="14" customWidth="1"/>
    <col min="11005" max="11007" width="18" style="14" customWidth="1"/>
    <col min="11008" max="11008" width="15.85546875" style="14" customWidth="1"/>
    <col min="11009" max="11009" width="14.42578125" style="14" customWidth="1"/>
    <col min="11010" max="11012" width="15.28515625" style="14" customWidth="1"/>
    <col min="11013" max="11013" width="18.28515625" style="14" customWidth="1"/>
    <col min="11014" max="11014" width="15.5703125" style="14" customWidth="1"/>
    <col min="11015" max="11015" width="14.7109375" style="14" bestFit="1" customWidth="1"/>
    <col min="11016" max="11016" width="15.7109375" style="14" customWidth="1"/>
    <col min="11017" max="11018" width="15.28515625" style="14" customWidth="1"/>
    <col min="11019" max="11019" width="18.28515625" style="14" customWidth="1"/>
    <col min="11020" max="11020" width="15.5703125" style="14" customWidth="1"/>
    <col min="11021" max="11021" width="14.7109375" style="14" bestFit="1" customWidth="1"/>
    <col min="11022" max="11022" width="18.7109375" style="14" customWidth="1"/>
    <col min="11023" max="11024" width="15.28515625" style="14" customWidth="1"/>
    <col min="11025" max="11025" width="18.28515625" style="14" customWidth="1"/>
    <col min="11026" max="11026" width="15.85546875" style="14" bestFit="1" customWidth="1"/>
    <col min="11027" max="11027" width="14.7109375" style="14" bestFit="1" customWidth="1"/>
    <col min="11028" max="11248" width="9.140625" style="14"/>
    <col min="11249" max="11249" width="20.7109375" style="14" customWidth="1"/>
    <col min="11250" max="11250" width="15.7109375" style="14" customWidth="1"/>
    <col min="11251" max="11251" width="14.28515625" style="14" customWidth="1"/>
    <col min="11252" max="11252" width="13.85546875" style="14" customWidth="1"/>
    <col min="11253" max="11253" width="14.5703125" style="14" customWidth="1"/>
    <col min="11254" max="11255" width="9.140625" style="14" customWidth="1"/>
    <col min="11256" max="11256" width="9.5703125" style="14" customWidth="1"/>
    <col min="11257" max="11257" width="9.7109375" style="14" customWidth="1"/>
    <col min="11258" max="11258" width="16.28515625" style="14" customWidth="1"/>
    <col min="11259" max="11259" width="16.140625" style="14" customWidth="1"/>
    <col min="11260" max="11260" width="15.7109375" style="14" customWidth="1"/>
    <col min="11261" max="11263" width="18" style="14" customWidth="1"/>
    <col min="11264" max="11264" width="15.85546875" style="14" customWidth="1"/>
    <col min="11265" max="11265" width="14.42578125" style="14" customWidth="1"/>
    <col min="11266" max="11268" width="15.28515625" style="14" customWidth="1"/>
    <col min="11269" max="11269" width="18.28515625" style="14" customWidth="1"/>
    <col min="11270" max="11270" width="15.5703125" style="14" customWidth="1"/>
    <col min="11271" max="11271" width="14.7109375" style="14" bestFit="1" customWidth="1"/>
    <col min="11272" max="11272" width="15.7109375" style="14" customWidth="1"/>
    <col min="11273" max="11274" width="15.28515625" style="14" customWidth="1"/>
    <col min="11275" max="11275" width="18.28515625" style="14" customWidth="1"/>
    <col min="11276" max="11276" width="15.5703125" style="14" customWidth="1"/>
    <col min="11277" max="11277" width="14.7109375" style="14" bestFit="1" customWidth="1"/>
    <col min="11278" max="11278" width="18.7109375" style="14" customWidth="1"/>
    <col min="11279" max="11280" width="15.28515625" style="14" customWidth="1"/>
    <col min="11281" max="11281" width="18.28515625" style="14" customWidth="1"/>
    <col min="11282" max="11282" width="15.85546875" style="14" bestFit="1" customWidth="1"/>
    <col min="11283" max="11283" width="14.7109375" style="14" bestFit="1" customWidth="1"/>
    <col min="11284" max="11504" width="9.140625" style="14"/>
    <col min="11505" max="11505" width="20.7109375" style="14" customWidth="1"/>
    <col min="11506" max="11506" width="15.7109375" style="14" customWidth="1"/>
    <col min="11507" max="11507" width="14.28515625" style="14" customWidth="1"/>
    <col min="11508" max="11508" width="13.85546875" style="14" customWidth="1"/>
    <col min="11509" max="11509" width="14.5703125" style="14" customWidth="1"/>
    <col min="11510" max="11511" width="9.140625" style="14" customWidth="1"/>
    <col min="11512" max="11512" width="9.5703125" style="14" customWidth="1"/>
    <col min="11513" max="11513" width="9.7109375" style="14" customWidth="1"/>
    <col min="11514" max="11514" width="16.28515625" style="14" customWidth="1"/>
    <col min="11515" max="11515" width="16.140625" style="14" customWidth="1"/>
    <col min="11516" max="11516" width="15.7109375" style="14" customWidth="1"/>
    <col min="11517" max="11519" width="18" style="14" customWidth="1"/>
    <col min="11520" max="11520" width="15.85546875" style="14" customWidth="1"/>
    <col min="11521" max="11521" width="14.42578125" style="14" customWidth="1"/>
    <col min="11522" max="11524" width="15.28515625" style="14" customWidth="1"/>
    <col min="11525" max="11525" width="18.28515625" style="14" customWidth="1"/>
    <col min="11526" max="11526" width="15.5703125" style="14" customWidth="1"/>
    <col min="11527" max="11527" width="14.7109375" style="14" bestFit="1" customWidth="1"/>
    <col min="11528" max="11528" width="15.7109375" style="14" customWidth="1"/>
    <col min="11529" max="11530" width="15.28515625" style="14" customWidth="1"/>
    <col min="11531" max="11531" width="18.28515625" style="14" customWidth="1"/>
    <col min="11532" max="11532" width="15.5703125" style="14" customWidth="1"/>
    <col min="11533" max="11533" width="14.7109375" style="14" bestFit="1" customWidth="1"/>
    <col min="11534" max="11534" width="18.7109375" style="14" customWidth="1"/>
    <col min="11535" max="11536" width="15.28515625" style="14" customWidth="1"/>
    <col min="11537" max="11537" width="18.28515625" style="14" customWidth="1"/>
    <col min="11538" max="11538" width="15.85546875" style="14" bestFit="1" customWidth="1"/>
    <col min="11539" max="11539" width="14.7109375" style="14" bestFit="1" customWidth="1"/>
    <col min="11540" max="11760" width="9.140625" style="14"/>
    <col min="11761" max="11761" width="20.7109375" style="14" customWidth="1"/>
    <col min="11762" max="11762" width="15.7109375" style="14" customWidth="1"/>
    <col min="11763" max="11763" width="14.28515625" style="14" customWidth="1"/>
    <col min="11764" max="11764" width="13.85546875" style="14" customWidth="1"/>
    <col min="11765" max="11765" width="14.5703125" style="14" customWidth="1"/>
    <col min="11766" max="11767" width="9.140625" style="14" customWidth="1"/>
    <col min="11768" max="11768" width="9.5703125" style="14" customWidth="1"/>
    <col min="11769" max="11769" width="9.7109375" style="14" customWidth="1"/>
    <col min="11770" max="11770" width="16.28515625" style="14" customWidth="1"/>
    <col min="11771" max="11771" width="16.140625" style="14" customWidth="1"/>
    <col min="11772" max="11772" width="15.7109375" style="14" customWidth="1"/>
    <col min="11773" max="11775" width="18" style="14" customWidth="1"/>
    <col min="11776" max="11776" width="15.85546875" style="14" customWidth="1"/>
    <col min="11777" max="11777" width="14.42578125" style="14" customWidth="1"/>
    <col min="11778" max="11780" width="15.28515625" style="14" customWidth="1"/>
    <col min="11781" max="11781" width="18.28515625" style="14" customWidth="1"/>
    <col min="11782" max="11782" width="15.5703125" style="14" customWidth="1"/>
    <col min="11783" max="11783" width="14.7109375" style="14" bestFit="1" customWidth="1"/>
    <col min="11784" max="11784" width="15.7109375" style="14" customWidth="1"/>
    <col min="11785" max="11786" width="15.28515625" style="14" customWidth="1"/>
    <col min="11787" max="11787" width="18.28515625" style="14" customWidth="1"/>
    <col min="11788" max="11788" width="15.5703125" style="14" customWidth="1"/>
    <col min="11789" max="11789" width="14.7109375" style="14" bestFit="1" customWidth="1"/>
    <col min="11790" max="11790" width="18.7109375" style="14" customWidth="1"/>
    <col min="11791" max="11792" width="15.28515625" style="14" customWidth="1"/>
    <col min="11793" max="11793" width="18.28515625" style="14" customWidth="1"/>
    <col min="11794" max="11794" width="15.85546875" style="14" bestFit="1" customWidth="1"/>
    <col min="11795" max="11795" width="14.7109375" style="14" bestFit="1" customWidth="1"/>
    <col min="11796" max="12016" width="9.140625" style="14"/>
    <col min="12017" max="12017" width="20.7109375" style="14" customWidth="1"/>
    <col min="12018" max="12018" width="15.7109375" style="14" customWidth="1"/>
    <col min="12019" max="12019" width="14.28515625" style="14" customWidth="1"/>
    <col min="12020" max="12020" width="13.85546875" style="14" customWidth="1"/>
    <col min="12021" max="12021" width="14.5703125" style="14" customWidth="1"/>
    <col min="12022" max="12023" width="9.140625" style="14" customWidth="1"/>
    <col min="12024" max="12024" width="9.5703125" style="14" customWidth="1"/>
    <col min="12025" max="12025" width="9.7109375" style="14" customWidth="1"/>
    <col min="12026" max="12026" width="16.28515625" style="14" customWidth="1"/>
    <col min="12027" max="12027" width="16.140625" style="14" customWidth="1"/>
    <col min="12028" max="12028" width="15.7109375" style="14" customWidth="1"/>
    <col min="12029" max="12031" width="18" style="14" customWidth="1"/>
    <col min="12032" max="12032" width="15.85546875" style="14" customWidth="1"/>
    <col min="12033" max="12033" width="14.42578125" style="14" customWidth="1"/>
    <col min="12034" max="12036" width="15.28515625" style="14" customWidth="1"/>
    <col min="12037" max="12037" width="18.28515625" style="14" customWidth="1"/>
    <col min="12038" max="12038" width="15.5703125" style="14" customWidth="1"/>
    <col min="12039" max="12039" width="14.7109375" style="14" bestFit="1" customWidth="1"/>
    <col min="12040" max="12040" width="15.7109375" style="14" customWidth="1"/>
    <col min="12041" max="12042" width="15.28515625" style="14" customWidth="1"/>
    <col min="12043" max="12043" width="18.28515625" style="14" customWidth="1"/>
    <col min="12044" max="12044" width="15.5703125" style="14" customWidth="1"/>
    <col min="12045" max="12045" width="14.7109375" style="14" bestFit="1" customWidth="1"/>
    <col min="12046" max="12046" width="18.7109375" style="14" customWidth="1"/>
    <col min="12047" max="12048" width="15.28515625" style="14" customWidth="1"/>
    <col min="12049" max="12049" width="18.28515625" style="14" customWidth="1"/>
    <col min="12050" max="12050" width="15.85546875" style="14" bestFit="1" customWidth="1"/>
    <col min="12051" max="12051" width="14.7109375" style="14" bestFit="1" customWidth="1"/>
    <col min="12052" max="12272" width="9.140625" style="14"/>
    <col min="12273" max="12273" width="20.7109375" style="14" customWidth="1"/>
    <col min="12274" max="12274" width="15.7109375" style="14" customWidth="1"/>
    <col min="12275" max="12275" width="14.28515625" style="14" customWidth="1"/>
    <col min="12276" max="12276" width="13.85546875" style="14" customWidth="1"/>
    <col min="12277" max="12277" width="14.5703125" style="14" customWidth="1"/>
    <col min="12278" max="12279" width="9.140625" style="14" customWidth="1"/>
    <col min="12280" max="12280" width="9.5703125" style="14" customWidth="1"/>
    <col min="12281" max="12281" width="9.7109375" style="14" customWidth="1"/>
    <col min="12282" max="12282" width="16.28515625" style="14" customWidth="1"/>
    <col min="12283" max="12283" width="16.140625" style="14" customWidth="1"/>
    <col min="12284" max="12284" width="15.7109375" style="14" customWidth="1"/>
    <col min="12285" max="12287" width="18" style="14" customWidth="1"/>
    <col min="12288" max="12288" width="15.85546875" style="14" customWidth="1"/>
    <col min="12289" max="12289" width="14.42578125" style="14" customWidth="1"/>
    <col min="12290" max="12292" width="15.28515625" style="14" customWidth="1"/>
    <col min="12293" max="12293" width="18.28515625" style="14" customWidth="1"/>
    <col min="12294" max="12294" width="15.5703125" style="14" customWidth="1"/>
    <col min="12295" max="12295" width="14.7109375" style="14" bestFit="1" customWidth="1"/>
    <col min="12296" max="12296" width="15.7109375" style="14" customWidth="1"/>
    <col min="12297" max="12298" width="15.28515625" style="14" customWidth="1"/>
    <col min="12299" max="12299" width="18.28515625" style="14" customWidth="1"/>
    <col min="12300" max="12300" width="15.5703125" style="14" customWidth="1"/>
    <col min="12301" max="12301" width="14.7109375" style="14" bestFit="1" customWidth="1"/>
    <col min="12302" max="12302" width="18.7109375" style="14" customWidth="1"/>
    <col min="12303" max="12304" width="15.28515625" style="14" customWidth="1"/>
    <col min="12305" max="12305" width="18.28515625" style="14" customWidth="1"/>
    <col min="12306" max="12306" width="15.85546875" style="14" bestFit="1" customWidth="1"/>
    <col min="12307" max="12307" width="14.7109375" style="14" bestFit="1" customWidth="1"/>
    <col min="12308" max="12528" width="9.140625" style="14"/>
    <col min="12529" max="12529" width="20.7109375" style="14" customWidth="1"/>
    <col min="12530" max="12530" width="15.7109375" style="14" customWidth="1"/>
    <col min="12531" max="12531" width="14.28515625" style="14" customWidth="1"/>
    <col min="12532" max="12532" width="13.85546875" style="14" customWidth="1"/>
    <col min="12533" max="12533" width="14.5703125" style="14" customWidth="1"/>
    <col min="12534" max="12535" width="9.140625" style="14" customWidth="1"/>
    <col min="12536" max="12536" width="9.5703125" style="14" customWidth="1"/>
    <col min="12537" max="12537" width="9.7109375" style="14" customWidth="1"/>
    <col min="12538" max="12538" width="16.28515625" style="14" customWidth="1"/>
    <col min="12539" max="12539" width="16.140625" style="14" customWidth="1"/>
    <col min="12540" max="12540" width="15.7109375" style="14" customWidth="1"/>
    <col min="12541" max="12543" width="18" style="14" customWidth="1"/>
    <col min="12544" max="12544" width="15.85546875" style="14" customWidth="1"/>
    <col min="12545" max="12545" width="14.42578125" style="14" customWidth="1"/>
    <col min="12546" max="12548" width="15.28515625" style="14" customWidth="1"/>
    <col min="12549" max="12549" width="18.28515625" style="14" customWidth="1"/>
    <col min="12550" max="12550" width="15.5703125" style="14" customWidth="1"/>
    <col min="12551" max="12551" width="14.7109375" style="14" bestFit="1" customWidth="1"/>
    <col min="12552" max="12552" width="15.7109375" style="14" customWidth="1"/>
    <col min="12553" max="12554" width="15.28515625" style="14" customWidth="1"/>
    <col min="12555" max="12555" width="18.28515625" style="14" customWidth="1"/>
    <col min="12556" max="12556" width="15.5703125" style="14" customWidth="1"/>
    <col min="12557" max="12557" width="14.7109375" style="14" bestFit="1" customWidth="1"/>
    <col min="12558" max="12558" width="18.7109375" style="14" customWidth="1"/>
    <col min="12559" max="12560" width="15.28515625" style="14" customWidth="1"/>
    <col min="12561" max="12561" width="18.28515625" style="14" customWidth="1"/>
    <col min="12562" max="12562" width="15.85546875" style="14" bestFit="1" customWidth="1"/>
    <col min="12563" max="12563" width="14.7109375" style="14" bestFit="1" customWidth="1"/>
    <col min="12564" max="12784" width="9.140625" style="14"/>
    <col min="12785" max="12785" width="20.7109375" style="14" customWidth="1"/>
    <col min="12786" max="12786" width="15.7109375" style="14" customWidth="1"/>
    <col min="12787" max="12787" width="14.28515625" style="14" customWidth="1"/>
    <col min="12788" max="12788" width="13.85546875" style="14" customWidth="1"/>
    <col min="12789" max="12789" width="14.5703125" style="14" customWidth="1"/>
    <col min="12790" max="12791" width="9.140625" style="14" customWidth="1"/>
    <col min="12792" max="12792" width="9.5703125" style="14" customWidth="1"/>
    <col min="12793" max="12793" width="9.7109375" style="14" customWidth="1"/>
    <col min="12794" max="12794" width="16.28515625" style="14" customWidth="1"/>
    <col min="12795" max="12795" width="16.140625" style="14" customWidth="1"/>
    <col min="12796" max="12796" width="15.7109375" style="14" customWidth="1"/>
    <col min="12797" max="12799" width="18" style="14" customWidth="1"/>
    <col min="12800" max="12800" width="15.85546875" style="14" customWidth="1"/>
    <col min="12801" max="12801" width="14.42578125" style="14" customWidth="1"/>
    <col min="12802" max="12804" width="15.28515625" style="14" customWidth="1"/>
    <col min="12805" max="12805" width="18.28515625" style="14" customWidth="1"/>
    <col min="12806" max="12806" width="15.5703125" style="14" customWidth="1"/>
    <col min="12807" max="12807" width="14.7109375" style="14" bestFit="1" customWidth="1"/>
    <col min="12808" max="12808" width="15.7109375" style="14" customWidth="1"/>
    <col min="12809" max="12810" width="15.28515625" style="14" customWidth="1"/>
    <col min="12811" max="12811" width="18.28515625" style="14" customWidth="1"/>
    <col min="12812" max="12812" width="15.5703125" style="14" customWidth="1"/>
    <col min="12813" max="12813" width="14.7109375" style="14" bestFit="1" customWidth="1"/>
    <col min="12814" max="12814" width="18.7109375" style="14" customWidth="1"/>
    <col min="12815" max="12816" width="15.28515625" style="14" customWidth="1"/>
    <col min="12817" max="12817" width="18.28515625" style="14" customWidth="1"/>
    <col min="12818" max="12818" width="15.85546875" style="14" bestFit="1" customWidth="1"/>
    <col min="12819" max="12819" width="14.7109375" style="14" bestFit="1" customWidth="1"/>
    <col min="12820" max="13040" width="9.140625" style="14"/>
    <col min="13041" max="13041" width="20.7109375" style="14" customWidth="1"/>
    <col min="13042" max="13042" width="15.7109375" style="14" customWidth="1"/>
    <col min="13043" max="13043" width="14.28515625" style="14" customWidth="1"/>
    <col min="13044" max="13044" width="13.85546875" style="14" customWidth="1"/>
    <col min="13045" max="13045" width="14.5703125" style="14" customWidth="1"/>
    <col min="13046" max="13047" width="9.140625" style="14" customWidth="1"/>
    <col min="13048" max="13048" width="9.5703125" style="14" customWidth="1"/>
    <col min="13049" max="13049" width="9.7109375" style="14" customWidth="1"/>
    <col min="13050" max="13050" width="16.28515625" style="14" customWidth="1"/>
    <col min="13051" max="13051" width="16.140625" style="14" customWidth="1"/>
    <col min="13052" max="13052" width="15.7109375" style="14" customWidth="1"/>
    <col min="13053" max="13055" width="18" style="14" customWidth="1"/>
    <col min="13056" max="13056" width="15.85546875" style="14" customWidth="1"/>
    <col min="13057" max="13057" width="14.42578125" style="14" customWidth="1"/>
    <col min="13058" max="13060" width="15.28515625" style="14" customWidth="1"/>
    <col min="13061" max="13061" width="18.28515625" style="14" customWidth="1"/>
    <col min="13062" max="13062" width="15.5703125" style="14" customWidth="1"/>
    <col min="13063" max="13063" width="14.7109375" style="14" bestFit="1" customWidth="1"/>
    <col min="13064" max="13064" width="15.7109375" style="14" customWidth="1"/>
    <col min="13065" max="13066" width="15.28515625" style="14" customWidth="1"/>
    <col min="13067" max="13067" width="18.28515625" style="14" customWidth="1"/>
    <col min="13068" max="13068" width="15.5703125" style="14" customWidth="1"/>
    <col min="13069" max="13069" width="14.7109375" style="14" bestFit="1" customWidth="1"/>
    <col min="13070" max="13070" width="18.7109375" style="14" customWidth="1"/>
    <col min="13071" max="13072" width="15.28515625" style="14" customWidth="1"/>
    <col min="13073" max="13073" width="18.28515625" style="14" customWidth="1"/>
    <col min="13074" max="13074" width="15.85546875" style="14" bestFit="1" customWidth="1"/>
    <col min="13075" max="13075" width="14.7109375" style="14" bestFit="1" customWidth="1"/>
    <col min="13076" max="13296" width="9.140625" style="14"/>
    <col min="13297" max="13297" width="20.7109375" style="14" customWidth="1"/>
    <col min="13298" max="13298" width="15.7109375" style="14" customWidth="1"/>
    <col min="13299" max="13299" width="14.28515625" style="14" customWidth="1"/>
    <col min="13300" max="13300" width="13.85546875" style="14" customWidth="1"/>
    <col min="13301" max="13301" width="14.5703125" style="14" customWidth="1"/>
    <col min="13302" max="13303" width="9.140625" style="14" customWidth="1"/>
    <col min="13304" max="13304" width="9.5703125" style="14" customWidth="1"/>
    <col min="13305" max="13305" width="9.7109375" style="14" customWidth="1"/>
    <col min="13306" max="13306" width="16.28515625" style="14" customWidth="1"/>
    <col min="13307" max="13307" width="16.140625" style="14" customWidth="1"/>
    <col min="13308" max="13308" width="15.7109375" style="14" customWidth="1"/>
    <col min="13309" max="13311" width="18" style="14" customWidth="1"/>
    <col min="13312" max="13312" width="15.85546875" style="14" customWidth="1"/>
    <col min="13313" max="13313" width="14.42578125" style="14" customWidth="1"/>
    <col min="13314" max="13316" width="15.28515625" style="14" customWidth="1"/>
    <col min="13317" max="13317" width="18.28515625" style="14" customWidth="1"/>
    <col min="13318" max="13318" width="15.5703125" style="14" customWidth="1"/>
    <col min="13319" max="13319" width="14.7109375" style="14" bestFit="1" customWidth="1"/>
    <col min="13320" max="13320" width="15.7109375" style="14" customWidth="1"/>
    <col min="13321" max="13322" width="15.28515625" style="14" customWidth="1"/>
    <col min="13323" max="13323" width="18.28515625" style="14" customWidth="1"/>
    <col min="13324" max="13324" width="15.5703125" style="14" customWidth="1"/>
    <col min="13325" max="13325" width="14.7109375" style="14" bestFit="1" customWidth="1"/>
    <col min="13326" max="13326" width="18.7109375" style="14" customWidth="1"/>
    <col min="13327" max="13328" width="15.28515625" style="14" customWidth="1"/>
    <col min="13329" max="13329" width="18.28515625" style="14" customWidth="1"/>
    <col min="13330" max="13330" width="15.85546875" style="14" bestFit="1" customWidth="1"/>
    <col min="13331" max="13331" width="14.7109375" style="14" bestFit="1" customWidth="1"/>
    <col min="13332" max="13552" width="9.140625" style="14"/>
    <col min="13553" max="13553" width="20.7109375" style="14" customWidth="1"/>
    <col min="13554" max="13554" width="15.7109375" style="14" customWidth="1"/>
    <col min="13555" max="13555" width="14.28515625" style="14" customWidth="1"/>
    <col min="13556" max="13556" width="13.85546875" style="14" customWidth="1"/>
    <col min="13557" max="13557" width="14.5703125" style="14" customWidth="1"/>
    <col min="13558" max="13559" width="9.140625" style="14" customWidth="1"/>
    <col min="13560" max="13560" width="9.5703125" style="14" customWidth="1"/>
    <col min="13561" max="13561" width="9.7109375" style="14" customWidth="1"/>
    <col min="13562" max="13562" width="16.28515625" style="14" customWidth="1"/>
    <col min="13563" max="13563" width="16.140625" style="14" customWidth="1"/>
    <col min="13564" max="13564" width="15.7109375" style="14" customWidth="1"/>
    <col min="13565" max="13567" width="18" style="14" customWidth="1"/>
    <col min="13568" max="13568" width="15.85546875" style="14" customWidth="1"/>
    <col min="13569" max="13569" width="14.42578125" style="14" customWidth="1"/>
    <col min="13570" max="13572" width="15.28515625" style="14" customWidth="1"/>
    <col min="13573" max="13573" width="18.28515625" style="14" customWidth="1"/>
    <col min="13574" max="13574" width="15.5703125" style="14" customWidth="1"/>
    <col min="13575" max="13575" width="14.7109375" style="14" bestFit="1" customWidth="1"/>
    <col min="13576" max="13576" width="15.7109375" style="14" customWidth="1"/>
    <col min="13577" max="13578" width="15.28515625" style="14" customWidth="1"/>
    <col min="13579" max="13579" width="18.28515625" style="14" customWidth="1"/>
    <col min="13580" max="13580" width="15.5703125" style="14" customWidth="1"/>
    <col min="13581" max="13581" width="14.7109375" style="14" bestFit="1" customWidth="1"/>
    <col min="13582" max="13582" width="18.7109375" style="14" customWidth="1"/>
    <col min="13583" max="13584" width="15.28515625" style="14" customWidth="1"/>
    <col min="13585" max="13585" width="18.28515625" style="14" customWidth="1"/>
    <col min="13586" max="13586" width="15.85546875" style="14" bestFit="1" customWidth="1"/>
    <col min="13587" max="13587" width="14.7109375" style="14" bestFit="1" customWidth="1"/>
    <col min="13588" max="13808" width="9.140625" style="14"/>
    <col min="13809" max="13809" width="20.7109375" style="14" customWidth="1"/>
    <col min="13810" max="13810" width="15.7109375" style="14" customWidth="1"/>
    <col min="13811" max="13811" width="14.28515625" style="14" customWidth="1"/>
    <col min="13812" max="13812" width="13.85546875" style="14" customWidth="1"/>
    <col min="13813" max="13813" width="14.5703125" style="14" customWidth="1"/>
    <col min="13814" max="13815" width="9.140625" style="14" customWidth="1"/>
    <col min="13816" max="13816" width="9.5703125" style="14" customWidth="1"/>
    <col min="13817" max="13817" width="9.7109375" style="14" customWidth="1"/>
    <col min="13818" max="13818" width="16.28515625" style="14" customWidth="1"/>
    <col min="13819" max="13819" width="16.140625" style="14" customWidth="1"/>
    <col min="13820" max="13820" width="15.7109375" style="14" customWidth="1"/>
    <col min="13821" max="13823" width="18" style="14" customWidth="1"/>
    <col min="13824" max="13824" width="15.85546875" style="14" customWidth="1"/>
    <col min="13825" max="13825" width="14.42578125" style="14" customWidth="1"/>
    <col min="13826" max="13828" width="15.28515625" style="14" customWidth="1"/>
    <col min="13829" max="13829" width="18.28515625" style="14" customWidth="1"/>
    <col min="13830" max="13830" width="15.5703125" style="14" customWidth="1"/>
    <col min="13831" max="13831" width="14.7109375" style="14" bestFit="1" customWidth="1"/>
    <col min="13832" max="13832" width="15.7109375" style="14" customWidth="1"/>
    <col min="13833" max="13834" width="15.28515625" style="14" customWidth="1"/>
    <col min="13835" max="13835" width="18.28515625" style="14" customWidth="1"/>
    <col min="13836" max="13836" width="15.5703125" style="14" customWidth="1"/>
    <col min="13837" max="13837" width="14.7109375" style="14" bestFit="1" customWidth="1"/>
    <col min="13838" max="13838" width="18.7109375" style="14" customWidth="1"/>
    <col min="13839" max="13840" width="15.28515625" style="14" customWidth="1"/>
    <col min="13841" max="13841" width="18.28515625" style="14" customWidth="1"/>
    <col min="13842" max="13842" width="15.85546875" style="14" bestFit="1" customWidth="1"/>
    <col min="13843" max="13843" width="14.7109375" style="14" bestFit="1" customWidth="1"/>
    <col min="13844" max="14064" width="9.140625" style="14"/>
    <col min="14065" max="14065" width="20.7109375" style="14" customWidth="1"/>
    <col min="14066" max="14066" width="15.7109375" style="14" customWidth="1"/>
    <col min="14067" max="14067" width="14.28515625" style="14" customWidth="1"/>
    <col min="14068" max="14068" width="13.85546875" style="14" customWidth="1"/>
    <col min="14069" max="14069" width="14.5703125" style="14" customWidth="1"/>
    <col min="14070" max="14071" width="9.140625" style="14" customWidth="1"/>
    <col min="14072" max="14072" width="9.5703125" style="14" customWidth="1"/>
    <col min="14073" max="14073" width="9.7109375" style="14" customWidth="1"/>
    <col min="14074" max="14074" width="16.28515625" style="14" customWidth="1"/>
    <col min="14075" max="14075" width="16.140625" style="14" customWidth="1"/>
    <col min="14076" max="14076" width="15.7109375" style="14" customWidth="1"/>
    <col min="14077" max="14079" width="18" style="14" customWidth="1"/>
    <col min="14080" max="14080" width="15.85546875" style="14" customWidth="1"/>
    <col min="14081" max="14081" width="14.42578125" style="14" customWidth="1"/>
    <col min="14082" max="14084" width="15.28515625" style="14" customWidth="1"/>
    <col min="14085" max="14085" width="18.28515625" style="14" customWidth="1"/>
    <col min="14086" max="14086" width="15.5703125" style="14" customWidth="1"/>
    <col min="14087" max="14087" width="14.7109375" style="14" bestFit="1" customWidth="1"/>
    <col min="14088" max="14088" width="15.7109375" style="14" customWidth="1"/>
    <col min="14089" max="14090" width="15.28515625" style="14" customWidth="1"/>
    <col min="14091" max="14091" width="18.28515625" style="14" customWidth="1"/>
    <col min="14092" max="14092" width="15.5703125" style="14" customWidth="1"/>
    <col min="14093" max="14093" width="14.7109375" style="14" bestFit="1" customWidth="1"/>
    <col min="14094" max="14094" width="18.7109375" style="14" customWidth="1"/>
    <col min="14095" max="14096" width="15.28515625" style="14" customWidth="1"/>
    <col min="14097" max="14097" width="18.28515625" style="14" customWidth="1"/>
    <col min="14098" max="14098" width="15.85546875" style="14" bestFit="1" customWidth="1"/>
    <col min="14099" max="14099" width="14.7109375" style="14" bestFit="1" customWidth="1"/>
    <col min="14100" max="14320" width="9.140625" style="14"/>
    <col min="14321" max="14321" width="20.7109375" style="14" customWidth="1"/>
    <col min="14322" max="14322" width="15.7109375" style="14" customWidth="1"/>
    <col min="14323" max="14323" width="14.28515625" style="14" customWidth="1"/>
    <col min="14324" max="14324" width="13.85546875" style="14" customWidth="1"/>
    <col min="14325" max="14325" width="14.5703125" style="14" customWidth="1"/>
    <col min="14326" max="14327" width="9.140625" style="14" customWidth="1"/>
    <col min="14328" max="14328" width="9.5703125" style="14" customWidth="1"/>
    <col min="14329" max="14329" width="9.7109375" style="14" customWidth="1"/>
    <col min="14330" max="14330" width="16.28515625" style="14" customWidth="1"/>
    <col min="14331" max="14331" width="16.140625" style="14" customWidth="1"/>
    <col min="14332" max="14332" width="15.7109375" style="14" customWidth="1"/>
    <col min="14333" max="14335" width="18" style="14" customWidth="1"/>
    <col min="14336" max="14336" width="15.85546875" style="14" customWidth="1"/>
    <col min="14337" max="14337" width="14.42578125" style="14" customWidth="1"/>
    <col min="14338" max="14340" width="15.28515625" style="14" customWidth="1"/>
    <col min="14341" max="14341" width="18.28515625" style="14" customWidth="1"/>
    <col min="14342" max="14342" width="15.5703125" style="14" customWidth="1"/>
    <col min="14343" max="14343" width="14.7109375" style="14" bestFit="1" customWidth="1"/>
    <col min="14344" max="14344" width="15.7109375" style="14" customWidth="1"/>
    <col min="14345" max="14346" width="15.28515625" style="14" customWidth="1"/>
    <col min="14347" max="14347" width="18.28515625" style="14" customWidth="1"/>
    <col min="14348" max="14348" width="15.5703125" style="14" customWidth="1"/>
    <col min="14349" max="14349" width="14.7109375" style="14" bestFit="1" customWidth="1"/>
    <col min="14350" max="14350" width="18.7109375" style="14" customWidth="1"/>
    <col min="14351" max="14352" width="15.28515625" style="14" customWidth="1"/>
    <col min="14353" max="14353" width="18.28515625" style="14" customWidth="1"/>
    <col min="14354" max="14354" width="15.85546875" style="14" bestFit="1" customWidth="1"/>
    <col min="14355" max="14355" width="14.7109375" style="14" bestFit="1" customWidth="1"/>
    <col min="14356" max="14576" width="9.140625" style="14"/>
    <col min="14577" max="14577" width="20.7109375" style="14" customWidth="1"/>
    <col min="14578" max="14578" width="15.7109375" style="14" customWidth="1"/>
    <col min="14579" max="14579" width="14.28515625" style="14" customWidth="1"/>
    <col min="14580" max="14580" width="13.85546875" style="14" customWidth="1"/>
    <col min="14581" max="14581" width="14.5703125" style="14" customWidth="1"/>
    <col min="14582" max="14583" width="9.140625" style="14" customWidth="1"/>
    <col min="14584" max="14584" width="9.5703125" style="14" customWidth="1"/>
    <col min="14585" max="14585" width="9.7109375" style="14" customWidth="1"/>
    <col min="14586" max="14586" width="16.28515625" style="14" customWidth="1"/>
    <col min="14587" max="14587" width="16.140625" style="14" customWidth="1"/>
    <col min="14588" max="14588" width="15.7109375" style="14" customWidth="1"/>
    <col min="14589" max="14591" width="18" style="14" customWidth="1"/>
    <col min="14592" max="14592" width="15.85546875" style="14" customWidth="1"/>
    <col min="14593" max="14593" width="14.42578125" style="14" customWidth="1"/>
    <col min="14594" max="14596" width="15.28515625" style="14" customWidth="1"/>
    <col min="14597" max="14597" width="18.28515625" style="14" customWidth="1"/>
    <col min="14598" max="14598" width="15.5703125" style="14" customWidth="1"/>
    <col min="14599" max="14599" width="14.7109375" style="14" bestFit="1" customWidth="1"/>
    <col min="14600" max="14600" width="15.7109375" style="14" customWidth="1"/>
    <col min="14601" max="14602" width="15.28515625" style="14" customWidth="1"/>
    <col min="14603" max="14603" width="18.28515625" style="14" customWidth="1"/>
    <col min="14604" max="14604" width="15.5703125" style="14" customWidth="1"/>
    <col min="14605" max="14605" width="14.7109375" style="14" bestFit="1" customWidth="1"/>
    <col min="14606" max="14606" width="18.7109375" style="14" customWidth="1"/>
    <col min="14607" max="14608" width="15.28515625" style="14" customWidth="1"/>
    <col min="14609" max="14609" width="18.28515625" style="14" customWidth="1"/>
    <col min="14610" max="14610" width="15.85546875" style="14" bestFit="1" customWidth="1"/>
    <col min="14611" max="14611" width="14.7109375" style="14" bestFit="1" customWidth="1"/>
    <col min="14612" max="14832" width="9.140625" style="14"/>
    <col min="14833" max="14833" width="20.7109375" style="14" customWidth="1"/>
    <col min="14834" max="14834" width="15.7109375" style="14" customWidth="1"/>
    <col min="14835" max="14835" width="14.28515625" style="14" customWidth="1"/>
    <col min="14836" max="14836" width="13.85546875" style="14" customWidth="1"/>
    <col min="14837" max="14837" width="14.5703125" style="14" customWidth="1"/>
    <col min="14838" max="14839" width="9.140625" style="14" customWidth="1"/>
    <col min="14840" max="14840" width="9.5703125" style="14" customWidth="1"/>
    <col min="14841" max="14841" width="9.7109375" style="14" customWidth="1"/>
    <col min="14842" max="14842" width="16.28515625" style="14" customWidth="1"/>
    <col min="14843" max="14843" width="16.140625" style="14" customWidth="1"/>
    <col min="14844" max="14844" width="15.7109375" style="14" customWidth="1"/>
    <col min="14845" max="14847" width="18" style="14" customWidth="1"/>
    <col min="14848" max="14848" width="15.85546875" style="14" customWidth="1"/>
    <col min="14849" max="14849" width="14.42578125" style="14" customWidth="1"/>
    <col min="14850" max="14852" width="15.28515625" style="14" customWidth="1"/>
    <col min="14853" max="14853" width="18.28515625" style="14" customWidth="1"/>
    <col min="14854" max="14854" width="15.5703125" style="14" customWidth="1"/>
    <col min="14855" max="14855" width="14.7109375" style="14" bestFit="1" customWidth="1"/>
    <col min="14856" max="14856" width="15.7109375" style="14" customWidth="1"/>
    <col min="14857" max="14858" width="15.28515625" style="14" customWidth="1"/>
    <col min="14859" max="14859" width="18.28515625" style="14" customWidth="1"/>
    <col min="14860" max="14860" width="15.5703125" style="14" customWidth="1"/>
    <col min="14861" max="14861" width="14.7109375" style="14" bestFit="1" customWidth="1"/>
    <col min="14862" max="14862" width="18.7109375" style="14" customWidth="1"/>
    <col min="14863" max="14864" width="15.28515625" style="14" customWidth="1"/>
    <col min="14865" max="14865" width="18.28515625" style="14" customWidth="1"/>
    <col min="14866" max="14866" width="15.85546875" style="14" bestFit="1" customWidth="1"/>
    <col min="14867" max="14867" width="14.7109375" style="14" bestFit="1" customWidth="1"/>
    <col min="14868" max="15088" width="9.140625" style="14"/>
    <col min="15089" max="15089" width="20.7109375" style="14" customWidth="1"/>
    <col min="15090" max="15090" width="15.7109375" style="14" customWidth="1"/>
    <col min="15091" max="15091" width="14.28515625" style="14" customWidth="1"/>
    <col min="15092" max="15092" width="13.85546875" style="14" customWidth="1"/>
    <col min="15093" max="15093" width="14.5703125" style="14" customWidth="1"/>
    <col min="15094" max="15095" width="9.140625" style="14" customWidth="1"/>
    <col min="15096" max="15096" width="9.5703125" style="14" customWidth="1"/>
    <col min="15097" max="15097" width="9.7109375" style="14" customWidth="1"/>
    <col min="15098" max="15098" width="16.28515625" style="14" customWidth="1"/>
    <col min="15099" max="15099" width="16.140625" style="14" customWidth="1"/>
    <col min="15100" max="15100" width="15.7109375" style="14" customWidth="1"/>
    <col min="15101" max="15103" width="18" style="14" customWidth="1"/>
    <col min="15104" max="15104" width="15.85546875" style="14" customWidth="1"/>
    <col min="15105" max="15105" width="14.42578125" style="14" customWidth="1"/>
    <col min="15106" max="15108" width="15.28515625" style="14" customWidth="1"/>
    <col min="15109" max="15109" width="18.28515625" style="14" customWidth="1"/>
    <col min="15110" max="15110" width="15.5703125" style="14" customWidth="1"/>
    <col min="15111" max="15111" width="14.7109375" style="14" bestFit="1" customWidth="1"/>
    <col min="15112" max="15112" width="15.7109375" style="14" customWidth="1"/>
    <col min="15113" max="15114" width="15.28515625" style="14" customWidth="1"/>
    <col min="15115" max="15115" width="18.28515625" style="14" customWidth="1"/>
    <col min="15116" max="15116" width="15.5703125" style="14" customWidth="1"/>
    <col min="15117" max="15117" width="14.7109375" style="14" bestFit="1" customWidth="1"/>
    <col min="15118" max="15118" width="18.7109375" style="14" customWidth="1"/>
    <col min="15119" max="15120" width="15.28515625" style="14" customWidth="1"/>
    <col min="15121" max="15121" width="18.28515625" style="14" customWidth="1"/>
    <col min="15122" max="15122" width="15.85546875" style="14" bestFit="1" customWidth="1"/>
    <col min="15123" max="15123" width="14.7109375" style="14" bestFit="1" customWidth="1"/>
    <col min="15124" max="15344" width="9.140625" style="14"/>
    <col min="15345" max="15345" width="20.7109375" style="14" customWidth="1"/>
    <col min="15346" max="15346" width="15.7109375" style="14" customWidth="1"/>
    <col min="15347" max="15347" width="14.28515625" style="14" customWidth="1"/>
    <col min="15348" max="15348" width="13.85546875" style="14" customWidth="1"/>
    <col min="15349" max="15349" width="14.5703125" style="14" customWidth="1"/>
    <col min="15350" max="15351" width="9.140625" style="14" customWidth="1"/>
    <col min="15352" max="15352" width="9.5703125" style="14" customWidth="1"/>
    <col min="15353" max="15353" width="9.7109375" style="14" customWidth="1"/>
    <col min="15354" max="15354" width="16.28515625" style="14" customWidth="1"/>
    <col min="15355" max="15355" width="16.140625" style="14" customWidth="1"/>
    <col min="15356" max="15356" width="15.7109375" style="14" customWidth="1"/>
    <col min="15357" max="15359" width="18" style="14" customWidth="1"/>
    <col min="15360" max="15360" width="15.85546875" style="14" customWidth="1"/>
    <col min="15361" max="15361" width="14.42578125" style="14" customWidth="1"/>
    <col min="15362" max="15364" width="15.28515625" style="14" customWidth="1"/>
    <col min="15365" max="15365" width="18.28515625" style="14" customWidth="1"/>
    <col min="15366" max="15366" width="15.5703125" style="14" customWidth="1"/>
    <col min="15367" max="15367" width="14.7109375" style="14" bestFit="1" customWidth="1"/>
    <col min="15368" max="15368" width="15.7109375" style="14" customWidth="1"/>
    <col min="15369" max="15370" width="15.28515625" style="14" customWidth="1"/>
    <col min="15371" max="15371" width="18.28515625" style="14" customWidth="1"/>
    <col min="15372" max="15372" width="15.5703125" style="14" customWidth="1"/>
    <col min="15373" max="15373" width="14.7109375" style="14" bestFit="1" customWidth="1"/>
    <col min="15374" max="15374" width="18.7109375" style="14" customWidth="1"/>
    <col min="15375" max="15376" width="15.28515625" style="14" customWidth="1"/>
    <col min="15377" max="15377" width="18.28515625" style="14" customWidth="1"/>
    <col min="15378" max="15378" width="15.85546875" style="14" bestFit="1" customWidth="1"/>
    <col min="15379" max="15379" width="14.7109375" style="14" bestFit="1" customWidth="1"/>
    <col min="15380" max="15600" width="9.140625" style="14"/>
    <col min="15601" max="15601" width="20.7109375" style="14" customWidth="1"/>
    <col min="15602" max="15602" width="15.7109375" style="14" customWidth="1"/>
    <col min="15603" max="15603" width="14.28515625" style="14" customWidth="1"/>
    <col min="15604" max="15604" width="13.85546875" style="14" customWidth="1"/>
    <col min="15605" max="15605" width="14.5703125" style="14" customWidth="1"/>
    <col min="15606" max="15607" width="9.140625" style="14" customWidth="1"/>
    <col min="15608" max="15608" width="9.5703125" style="14" customWidth="1"/>
    <col min="15609" max="15609" width="9.7109375" style="14" customWidth="1"/>
    <col min="15610" max="15610" width="16.28515625" style="14" customWidth="1"/>
    <col min="15611" max="15611" width="16.140625" style="14" customWidth="1"/>
    <col min="15612" max="15612" width="15.7109375" style="14" customWidth="1"/>
    <col min="15613" max="15615" width="18" style="14" customWidth="1"/>
    <col min="15616" max="15616" width="15.85546875" style="14" customWidth="1"/>
    <col min="15617" max="15617" width="14.42578125" style="14" customWidth="1"/>
    <col min="15618" max="15620" width="15.28515625" style="14" customWidth="1"/>
    <col min="15621" max="15621" width="18.28515625" style="14" customWidth="1"/>
    <col min="15622" max="15622" width="15.5703125" style="14" customWidth="1"/>
    <col min="15623" max="15623" width="14.7109375" style="14" bestFit="1" customWidth="1"/>
    <col min="15624" max="15624" width="15.7109375" style="14" customWidth="1"/>
    <col min="15625" max="15626" width="15.28515625" style="14" customWidth="1"/>
    <col min="15627" max="15627" width="18.28515625" style="14" customWidth="1"/>
    <col min="15628" max="15628" width="15.5703125" style="14" customWidth="1"/>
    <col min="15629" max="15629" width="14.7109375" style="14" bestFit="1" customWidth="1"/>
    <col min="15630" max="15630" width="18.7109375" style="14" customWidth="1"/>
    <col min="15631" max="15632" width="15.28515625" style="14" customWidth="1"/>
    <col min="15633" max="15633" width="18.28515625" style="14" customWidth="1"/>
    <col min="15634" max="15634" width="15.85546875" style="14" bestFit="1" customWidth="1"/>
    <col min="15635" max="15635" width="14.7109375" style="14" bestFit="1" customWidth="1"/>
    <col min="15636" max="15856" width="9.140625" style="14"/>
    <col min="15857" max="15857" width="20.7109375" style="14" customWidth="1"/>
    <col min="15858" max="15858" width="15.7109375" style="14" customWidth="1"/>
    <col min="15859" max="15859" width="14.28515625" style="14" customWidth="1"/>
    <col min="15860" max="15860" width="13.85546875" style="14" customWidth="1"/>
    <col min="15861" max="15861" width="14.5703125" style="14" customWidth="1"/>
    <col min="15862" max="15863" width="9.140625" style="14" customWidth="1"/>
    <col min="15864" max="15864" width="9.5703125" style="14" customWidth="1"/>
    <col min="15865" max="15865" width="9.7109375" style="14" customWidth="1"/>
    <col min="15866" max="15866" width="16.28515625" style="14" customWidth="1"/>
    <col min="15867" max="15867" width="16.140625" style="14" customWidth="1"/>
    <col min="15868" max="15868" width="15.7109375" style="14" customWidth="1"/>
    <col min="15869" max="15871" width="18" style="14" customWidth="1"/>
    <col min="15872" max="15872" width="15.85546875" style="14" customWidth="1"/>
    <col min="15873" max="15873" width="14.42578125" style="14" customWidth="1"/>
    <col min="15874" max="15876" width="15.28515625" style="14" customWidth="1"/>
    <col min="15877" max="15877" width="18.28515625" style="14" customWidth="1"/>
    <col min="15878" max="15878" width="15.5703125" style="14" customWidth="1"/>
    <col min="15879" max="15879" width="14.7109375" style="14" bestFit="1" customWidth="1"/>
    <col min="15880" max="15880" width="15.7109375" style="14" customWidth="1"/>
    <col min="15881" max="15882" width="15.28515625" style="14" customWidth="1"/>
    <col min="15883" max="15883" width="18.28515625" style="14" customWidth="1"/>
    <col min="15884" max="15884" width="15.5703125" style="14" customWidth="1"/>
    <col min="15885" max="15885" width="14.7109375" style="14" bestFit="1" customWidth="1"/>
    <col min="15886" max="15886" width="18.7109375" style="14" customWidth="1"/>
    <col min="15887" max="15888" width="15.28515625" style="14" customWidth="1"/>
    <col min="15889" max="15889" width="18.28515625" style="14" customWidth="1"/>
    <col min="15890" max="15890" width="15.85546875" style="14" bestFit="1" customWidth="1"/>
    <col min="15891" max="15891" width="14.7109375" style="14" bestFit="1" customWidth="1"/>
    <col min="15892" max="16112" width="9.140625" style="14"/>
    <col min="16113" max="16113" width="20.7109375" style="14" customWidth="1"/>
    <col min="16114" max="16114" width="15.7109375" style="14" customWidth="1"/>
    <col min="16115" max="16115" width="14.28515625" style="14" customWidth="1"/>
    <col min="16116" max="16116" width="13.85546875" style="14" customWidth="1"/>
    <col min="16117" max="16117" width="14.5703125" style="14" customWidth="1"/>
    <col min="16118" max="16119" width="9.140625" style="14" customWidth="1"/>
    <col min="16120" max="16120" width="9.5703125" style="14" customWidth="1"/>
    <col min="16121" max="16121" width="9.7109375" style="14" customWidth="1"/>
    <col min="16122" max="16122" width="16.28515625" style="14" customWidth="1"/>
    <col min="16123" max="16123" width="16.140625" style="14" customWidth="1"/>
    <col min="16124" max="16124" width="15.7109375" style="14" customWidth="1"/>
    <col min="16125" max="16127" width="18" style="14" customWidth="1"/>
    <col min="16128" max="16128" width="15.85546875" style="14" customWidth="1"/>
    <col min="16129" max="16129" width="14.42578125" style="14" customWidth="1"/>
    <col min="16130" max="16132" width="15.28515625" style="14" customWidth="1"/>
    <col min="16133" max="16133" width="18.28515625" style="14" customWidth="1"/>
    <col min="16134" max="16134" width="15.5703125" style="14" customWidth="1"/>
    <col min="16135" max="16135" width="14.7109375" style="14" bestFit="1" customWidth="1"/>
    <col min="16136" max="16136" width="15.7109375" style="14" customWidth="1"/>
    <col min="16137" max="16138" width="15.28515625" style="14" customWidth="1"/>
    <col min="16139" max="16139" width="18.28515625" style="14" customWidth="1"/>
    <col min="16140" max="16140" width="15.5703125" style="14" customWidth="1"/>
    <col min="16141" max="16141" width="14.7109375" style="14" bestFit="1" customWidth="1"/>
    <col min="16142" max="16142" width="18.7109375" style="14" customWidth="1"/>
    <col min="16143" max="16144" width="15.28515625" style="14" customWidth="1"/>
    <col min="16145" max="16145" width="18.28515625" style="14" customWidth="1"/>
    <col min="16146" max="16146" width="15.85546875" style="14" bestFit="1" customWidth="1"/>
    <col min="16147" max="16147" width="14.7109375" style="14" bestFit="1" customWidth="1"/>
    <col min="16148" max="16378" width="9.140625" style="14"/>
    <col min="16379" max="16384" width="9.140625" style="14" customWidth="1"/>
  </cols>
  <sheetData>
    <row r="1" spans="1:18" s="18" customFormat="1" x14ac:dyDescent="0.2">
      <c r="A1" s="1033" t="s">
        <v>402</v>
      </c>
      <c r="B1" s="1033"/>
      <c r="C1" s="1033"/>
      <c r="D1" s="1033"/>
      <c r="E1" s="1033"/>
      <c r="F1" s="1033"/>
      <c r="G1" s="1033"/>
      <c r="H1" s="1033"/>
      <c r="I1" s="1033"/>
      <c r="J1" s="1033"/>
      <c r="K1" s="1033"/>
      <c r="L1" s="1033"/>
      <c r="M1" s="1033"/>
      <c r="N1" s="1033"/>
      <c r="O1" s="1033"/>
      <c r="P1" s="1033"/>
      <c r="Q1" s="1033"/>
      <c r="R1" s="1033"/>
    </row>
    <row r="2" spans="1:18" s="18" customFormat="1" ht="64.5" customHeight="1" x14ac:dyDescent="0.2">
      <c r="A2" s="1031" t="s">
        <v>132</v>
      </c>
      <c r="B2" s="1045" t="str">
        <f>'Услуги связи'!B3</f>
        <v xml:space="preserve">Нормативная численность обучающихся </v>
      </c>
      <c r="C2" s="1034" t="s">
        <v>23</v>
      </c>
      <c r="D2" s="1035"/>
      <c r="E2" s="1036"/>
      <c r="F2" s="1037" t="s">
        <v>2</v>
      </c>
      <c r="G2" s="1038"/>
      <c r="H2" s="1038"/>
      <c r="I2" s="1039"/>
      <c r="J2" s="1028" t="s">
        <v>338</v>
      </c>
      <c r="K2" s="1028" t="s">
        <v>370</v>
      </c>
      <c r="L2" s="1028" t="s">
        <v>403</v>
      </c>
      <c r="M2" s="1031" t="s">
        <v>150</v>
      </c>
      <c r="N2" s="1031"/>
      <c r="O2" s="1042" t="s">
        <v>322</v>
      </c>
      <c r="P2" s="1028" t="s">
        <v>338</v>
      </c>
      <c r="Q2" s="1028" t="s">
        <v>370</v>
      </c>
      <c r="R2" s="1028" t="s">
        <v>403</v>
      </c>
    </row>
    <row r="3" spans="1:18" s="18" customFormat="1" ht="12.75" customHeight="1" x14ac:dyDescent="0.2">
      <c r="A3" s="1031"/>
      <c r="B3" s="1045"/>
      <c r="C3" s="1031">
        <v>2021</v>
      </c>
      <c r="D3" s="1031">
        <v>2022</v>
      </c>
      <c r="E3" s="1031">
        <v>2023</v>
      </c>
      <c r="F3" s="98">
        <v>2020</v>
      </c>
      <c r="G3" s="98">
        <v>2021</v>
      </c>
      <c r="H3" s="98">
        <v>2022</v>
      </c>
      <c r="I3" s="98">
        <v>2023</v>
      </c>
      <c r="J3" s="1029"/>
      <c r="K3" s="1029"/>
      <c r="L3" s="1029"/>
      <c r="M3" s="1031"/>
      <c r="N3" s="1031"/>
      <c r="O3" s="1043"/>
      <c r="P3" s="1040"/>
      <c r="Q3" s="1040"/>
      <c r="R3" s="1040"/>
    </row>
    <row r="4" spans="1:18" s="18" customFormat="1" x14ac:dyDescent="0.2">
      <c r="A4" s="1031"/>
      <c r="B4" s="1045"/>
      <c r="C4" s="1031"/>
      <c r="D4" s="1031"/>
      <c r="E4" s="1031"/>
      <c r="F4" s="1037" t="s">
        <v>22</v>
      </c>
      <c r="G4" s="1038"/>
      <c r="H4" s="1038"/>
      <c r="I4" s="1039"/>
      <c r="J4" s="1029"/>
      <c r="K4" s="1029"/>
      <c r="L4" s="1029"/>
      <c r="M4" s="1032" t="s">
        <v>23</v>
      </c>
      <c r="N4" s="1032" t="s">
        <v>33</v>
      </c>
      <c r="O4" s="1043"/>
      <c r="P4" s="1040"/>
      <c r="Q4" s="1040"/>
      <c r="R4" s="1040"/>
    </row>
    <row r="5" spans="1:18" s="18" customFormat="1" ht="19.5" customHeight="1" x14ac:dyDescent="0.2">
      <c r="A5" s="1031"/>
      <c r="B5" s="1045"/>
      <c r="C5" s="1031"/>
      <c r="D5" s="1031"/>
      <c r="E5" s="1031"/>
      <c r="F5" s="98">
        <v>1</v>
      </c>
      <c r="G5" s="98">
        <v>1.05</v>
      </c>
      <c r="H5" s="98">
        <v>1.05</v>
      </c>
      <c r="I5" s="98">
        <v>1.05</v>
      </c>
      <c r="J5" s="1030"/>
      <c r="K5" s="1030"/>
      <c r="L5" s="1030"/>
      <c r="M5" s="1030"/>
      <c r="N5" s="1030"/>
      <c r="O5" s="1044"/>
      <c r="P5" s="1041"/>
      <c r="Q5" s="1041"/>
      <c r="R5" s="1041"/>
    </row>
    <row r="6" spans="1:18" s="18" customFormat="1" ht="12.75" customHeight="1" x14ac:dyDescent="0.2">
      <c r="A6" s="38" t="str">
        <f>'Услуги связи'!A6</f>
        <v>МАДОУ ЦРР-детский сад № 2</v>
      </c>
      <c r="B6" s="253">
        <f>'Услуги связи'!B6</f>
        <v>506</v>
      </c>
      <c r="C6" s="197">
        <f>'Факт. объемы'!E7</f>
        <v>173937</v>
      </c>
      <c r="D6" s="197">
        <f>C6</f>
        <v>173937</v>
      </c>
      <c r="E6" s="197">
        <f>D6</f>
        <v>173937</v>
      </c>
      <c r="F6" s="797">
        <v>6.97</v>
      </c>
      <c r="G6" s="204">
        <v>7.57</v>
      </c>
      <c r="H6" s="204">
        <v>7.95</v>
      </c>
      <c r="I6" s="204">
        <v>8.34</v>
      </c>
      <c r="J6" s="197">
        <f>ROUND(C6*G6,0)</f>
        <v>1316703</v>
      </c>
      <c r="K6" s="197">
        <f>ROUND(D6*H6,0)</f>
        <v>1382799</v>
      </c>
      <c r="L6" s="197">
        <f t="shared" ref="L6:L14" si="0">ROUND(E6*I6,0)</f>
        <v>1450635</v>
      </c>
      <c r="M6" s="197"/>
      <c r="N6" s="197"/>
      <c r="O6" s="383">
        <f>ROUND((C6-M6)/B6,3)</f>
        <v>343.74900000000002</v>
      </c>
      <c r="P6" s="197">
        <f>ROUND(B6*O6*G6,2)</f>
        <v>1316703.04</v>
      </c>
      <c r="Q6" s="563">
        <f>ROUND(B6*O6*H6,2)</f>
        <v>1382799.1</v>
      </c>
      <c r="R6" s="563">
        <f>ROUND(B6*O6*I6,2)</f>
        <v>1450634.53</v>
      </c>
    </row>
    <row r="7" spans="1:18" s="18" customFormat="1" x14ac:dyDescent="0.2">
      <c r="A7" s="38" t="str">
        <f>'Услуги связи'!A7</f>
        <v>МАДОУ ЦРР-детский сад № 11</v>
      </c>
      <c r="B7" s="253">
        <f>'Услуги связи'!B7</f>
        <v>559</v>
      </c>
      <c r="C7" s="515">
        <f>'Факт. объемы'!E8</f>
        <v>128770</v>
      </c>
      <c r="D7" s="418">
        <f t="shared" ref="D7:E14" si="1">C7</f>
        <v>128770</v>
      </c>
      <c r="E7" s="418">
        <f t="shared" si="1"/>
        <v>128770</v>
      </c>
      <c r="F7" s="797">
        <v>6.97</v>
      </c>
      <c r="G7" s="802">
        <v>7.57</v>
      </c>
      <c r="H7" s="802">
        <v>7.95</v>
      </c>
      <c r="I7" s="802">
        <v>8.34</v>
      </c>
      <c r="J7" s="197">
        <f t="shared" ref="J7:J14" si="2">ROUND(C7*G7,0)</f>
        <v>974789</v>
      </c>
      <c r="K7" s="197">
        <f t="shared" ref="K7:K14" si="3">ROUND(D7*H7,0)</f>
        <v>1023722</v>
      </c>
      <c r="L7" s="197">
        <f t="shared" si="0"/>
        <v>1073942</v>
      </c>
      <c r="M7" s="197"/>
      <c r="N7" s="197"/>
      <c r="O7" s="383">
        <f>ROUND((C7-M7)/B7,3)</f>
        <v>230.358</v>
      </c>
      <c r="P7" s="563">
        <f t="shared" ref="P7:P14" si="4">ROUND(B7*O7*G7,2)</f>
        <v>974789.82</v>
      </c>
      <c r="Q7" s="563">
        <f t="shared" ref="Q7:Q14" si="5">ROUND(B7*O7*H7,2)</f>
        <v>1023722.47</v>
      </c>
      <c r="R7" s="563">
        <f t="shared" ref="R7:R14" si="6">ROUND(B7*O7*I7,2)</f>
        <v>1073942.82</v>
      </c>
    </row>
    <row r="8" spans="1:18" s="18" customFormat="1" x14ac:dyDescent="0.2">
      <c r="A8" s="38" t="str">
        <f>'Услуги связи'!A8</f>
        <v>МАДОУ ЦРР-детский сад № 13</v>
      </c>
      <c r="B8" s="253">
        <f>'Услуги связи'!B8</f>
        <v>633</v>
      </c>
      <c r="C8" s="515">
        <f>'Факт. объемы'!E9</f>
        <v>208704</v>
      </c>
      <c r="D8" s="418">
        <f t="shared" si="1"/>
        <v>208704</v>
      </c>
      <c r="E8" s="418">
        <f t="shared" si="1"/>
        <v>208704</v>
      </c>
      <c r="F8" s="797">
        <v>6.97</v>
      </c>
      <c r="G8" s="802">
        <v>7.57</v>
      </c>
      <c r="H8" s="802">
        <v>7.95</v>
      </c>
      <c r="I8" s="802">
        <v>8.34</v>
      </c>
      <c r="J8" s="197">
        <f t="shared" si="2"/>
        <v>1579889</v>
      </c>
      <c r="K8" s="197">
        <f t="shared" si="3"/>
        <v>1659197</v>
      </c>
      <c r="L8" s="197">
        <f t="shared" si="0"/>
        <v>1740591</v>
      </c>
      <c r="M8" s="652"/>
      <c r="N8" s="678"/>
      <c r="O8" s="383">
        <f>ROUND((C8-M8)/B8,3)</f>
        <v>329.70600000000002</v>
      </c>
      <c r="P8" s="563">
        <f t="shared" si="4"/>
        <v>1579888.51</v>
      </c>
      <c r="Q8" s="563">
        <f t="shared" si="5"/>
        <v>1659195.99</v>
      </c>
      <c r="R8" s="563">
        <f t="shared" si="6"/>
        <v>1740590.51</v>
      </c>
    </row>
    <row r="9" spans="1:18" s="18" customFormat="1" ht="12.75" customHeight="1" x14ac:dyDescent="0.2">
      <c r="A9" s="38" t="str">
        <f>'Услуги связи'!A9</f>
        <v>МАОУ СОШ № 1 структурное подразделение</v>
      </c>
      <c r="B9" s="253">
        <f>'Услуги связи'!B9</f>
        <v>381</v>
      </c>
      <c r="C9" s="515">
        <f>'Факт. объемы'!E10</f>
        <v>104497</v>
      </c>
      <c r="D9" s="418">
        <f t="shared" si="1"/>
        <v>104497</v>
      </c>
      <c r="E9" s="418">
        <f t="shared" si="1"/>
        <v>104497</v>
      </c>
      <c r="F9" s="797">
        <v>6.97</v>
      </c>
      <c r="G9" s="802">
        <v>7.57</v>
      </c>
      <c r="H9" s="802">
        <v>7.95</v>
      </c>
      <c r="I9" s="802">
        <v>8.34</v>
      </c>
      <c r="J9" s="197">
        <f t="shared" si="2"/>
        <v>791042</v>
      </c>
      <c r="K9" s="197">
        <f t="shared" si="3"/>
        <v>830751</v>
      </c>
      <c r="L9" s="197">
        <f t="shared" si="0"/>
        <v>871505</v>
      </c>
      <c r="M9" s="197"/>
      <c r="N9" s="197"/>
      <c r="O9" s="383">
        <f>ROUND((C9-M9)/B9,3)</f>
        <v>274.27</v>
      </c>
      <c r="P9" s="563">
        <f t="shared" si="4"/>
        <v>791041.31</v>
      </c>
      <c r="Q9" s="563">
        <f t="shared" si="5"/>
        <v>830750.12</v>
      </c>
      <c r="R9" s="563">
        <f t="shared" si="6"/>
        <v>871503.9</v>
      </c>
    </row>
    <row r="10" spans="1:18" s="18" customFormat="1" ht="25.5" x14ac:dyDescent="0.2">
      <c r="A10" s="46" t="str">
        <f>'Услуги связи'!A10</f>
        <v>МАОУ СОШ № 2 им.М.И.Грибушина структурное подразделение</v>
      </c>
      <c r="B10" s="253">
        <f>'Услуги связи'!B10</f>
        <v>288</v>
      </c>
      <c r="C10" s="515">
        <f>'Факт. объемы'!E11</f>
        <v>96286</v>
      </c>
      <c r="D10" s="418">
        <f t="shared" si="1"/>
        <v>96286</v>
      </c>
      <c r="E10" s="418">
        <f t="shared" si="1"/>
        <v>96286</v>
      </c>
      <c r="F10" s="797">
        <v>6.97</v>
      </c>
      <c r="G10" s="802">
        <v>7.57</v>
      </c>
      <c r="H10" s="802">
        <v>7.95</v>
      </c>
      <c r="I10" s="802">
        <v>8.34</v>
      </c>
      <c r="J10" s="197">
        <f t="shared" si="2"/>
        <v>728885</v>
      </c>
      <c r="K10" s="197">
        <f t="shared" si="3"/>
        <v>765474</v>
      </c>
      <c r="L10" s="197">
        <f t="shared" si="0"/>
        <v>803025</v>
      </c>
      <c r="M10" s="342"/>
      <c r="N10" s="342"/>
      <c r="O10" s="383">
        <f>ROUND((C10-M10)/B10,3)</f>
        <v>334.32600000000002</v>
      </c>
      <c r="P10" s="563">
        <f t="shared" si="4"/>
        <v>728884.17</v>
      </c>
      <c r="Q10" s="563">
        <f t="shared" si="5"/>
        <v>765472.81</v>
      </c>
      <c r="R10" s="563">
        <f t="shared" si="6"/>
        <v>803024.31</v>
      </c>
    </row>
    <row r="11" spans="1:18" s="18" customFormat="1" ht="12.75" customHeight="1" x14ac:dyDescent="0.2">
      <c r="A11" s="38" t="str">
        <f>'Услуги связи'!A11</f>
        <v>МАОУ СОШ № 10 структурное подразделение</v>
      </c>
      <c r="B11" s="253">
        <f>'Услуги связи'!B11</f>
        <v>262</v>
      </c>
      <c r="C11" s="515">
        <f>'Факт. объемы'!E12</f>
        <v>47929</v>
      </c>
      <c r="D11" s="418">
        <f t="shared" si="1"/>
        <v>47929</v>
      </c>
      <c r="E11" s="418">
        <f t="shared" si="1"/>
        <v>47929</v>
      </c>
      <c r="F11" s="797">
        <v>6.97</v>
      </c>
      <c r="G11" s="802">
        <v>7.57</v>
      </c>
      <c r="H11" s="802">
        <v>7.95</v>
      </c>
      <c r="I11" s="802">
        <v>8.34</v>
      </c>
      <c r="J11" s="197">
        <f t="shared" si="2"/>
        <v>362823</v>
      </c>
      <c r="K11" s="197">
        <f t="shared" si="3"/>
        <v>381036</v>
      </c>
      <c r="L11" s="197">
        <f t="shared" si="0"/>
        <v>399728</v>
      </c>
      <c r="M11" s="197"/>
      <c r="N11" s="197"/>
      <c r="O11" s="383">
        <f t="shared" ref="O11:O14" si="7">ROUND(C11/B11,3)</f>
        <v>182.935</v>
      </c>
      <c r="P11" s="563">
        <f t="shared" si="4"/>
        <v>362822.3</v>
      </c>
      <c r="Q11" s="563">
        <f t="shared" si="5"/>
        <v>381035.31</v>
      </c>
      <c r="R11" s="563">
        <f t="shared" si="6"/>
        <v>399727.61</v>
      </c>
    </row>
    <row r="12" spans="1:18" s="18" customFormat="1" ht="12.75" customHeight="1" x14ac:dyDescent="0.2">
      <c r="A12" s="38" t="str">
        <f>'Услуги связи'!A12</f>
        <v>МАОУ СОШ № 13 структурное подразделение</v>
      </c>
      <c r="B12" s="253">
        <f>'Услуги связи'!B12</f>
        <v>224</v>
      </c>
      <c r="C12" s="515">
        <f>'Факт. объемы'!E13</f>
        <v>104942</v>
      </c>
      <c r="D12" s="418">
        <f t="shared" si="1"/>
        <v>104942</v>
      </c>
      <c r="E12" s="418">
        <f t="shared" si="1"/>
        <v>104942</v>
      </c>
      <c r="F12" s="797">
        <v>6.97</v>
      </c>
      <c r="G12" s="802">
        <v>7.57</v>
      </c>
      <c r="H12" s="802">
        <v>7.95</v>
      </c>
      <c r="I12" s="802">
        <v>8.34</v>
      </c>
      <c r="J12" s="197">
        <f t="shared" si="2"/>
        <v>794411</v>
      </c>
      <c r="K12" s="197">
        <f t="shared" si="3"/>
        <v>834289</v>
      </c>
      <c r="L12" s="206">
        <f t="shared" si="0"/>
        <v>875216</v>
      </c>
      <c r="M12" s="197"/>
      <c r="N12" s="197"/>
      <c r="O12" s="383">
        <f t="shared" si="7"/>
        <v>468.49099999999999</v>
      </c>
      <c r="P12" s="563">
        <f t="shared" si="4"/>
        <v>794410.82</v>
      </c>
      <c r="Q12" s="563">
        <f t="shared" si="5"/>
        <v>834288.77</v>
      </c>
      <c r="R12" s="563">
        <f t="shared" si="6"/>
        <v>875216.15</v>
      </c>
    </row>
    <row r="13" spans="1:18" s="18" customFormat="1" ht="12.75" customHeight="1" x14ac:dyDescent="0.2">
      <c r="A13" s="38" t="str">
        <f>'Услуги связи'!A13</f>
        <v>Гимназия № 16 структурное подразделение</v>
      </c>
      <c r="B13" s="253">
        <f>'Услуги связи'!B13</f>
        <v>456</v>
      </c>
      <c r="C13" s="515">
        <f>'Факт. объемы'!E14</f>
        <v>104472</v>
      </c>
      <c r="D13" s="418">
        <f t="shared" si="1"/>
        <v>104472</v>
      </c>
      <c r="E13" s="418">
        <f t="shared" si="1"/>
        <v>104472</v>
      </c>
      <c r="F13" s="797">
        <v>6.97</v>
      </c>
      <c r="G13" s="802">
        <v>7.57</v>
      </c>
      <c r="H13" s="802">
        <v>7.95</v>
      </c>
      <c r="I13" s="802">
        <v>8.34</v>
      </c>
      <c r="J13" s="197">
        <f t="shared" si="2"/>
        <v>790853</v>
      </c>
      <c r="K13" s="197">
        <f t="shared" si="3"/>
        <v>830552</v>
      </c>
      <c r="L13" s="197">
        <f t="shared" si="0"/>
        <v>871296</v>
      </c>
      <c r="M13" s="197"/>
      <c r="N13" s="197"/>
      <c r="O13" s="383">
        <f t="shared" si="7"/>
        <v>229.10499999999999</v>
      </c>
      <c r="P13" s="563">
        <f t="shared" si="4"/>
        <v>790852.13</v>
      </c>
      <c r="Q13" s="563">
        <f t="shared" si="5"/>
        <v>830551.45</v>
      </c>
      <c r="R13" s="563">
        <f t="shared" si="6"/>
        <v>871295.48</v>
      </c>
    </row>
    <row r="14" spans="1:18" s="18" customFormat="1" ht="26.25" thickBot="1" x14ac:dyDescent="0.25">
      <c r="A14" s="46" t="str">
        <f>'Услуги связи'!A14</f>
        <v>МАОУ ООШ № 17 с кадетскими классами структурное подразделение</v>
      </c>
      <c r="B14" s="253">
        <f>'Услуги связи'!B14</f>
        <v>189</v>
      </c>
      <c r="C14" s="515">
        <f>'Факт. объемы'!E15</f>
        <v>81015</v>
      </c>
      <c r="D14" s="418">
        <f t="shared" si="1"/>
        <v>81015</v>
      </c>
      <c r="E14" s="418">
        <f t="shared" si="1"/>
        <v>81015</v>
      </c>
      <c r="F14" s="797">
        <v>6.97</v>
      </c>
      <c r="G14" s="802">
        <v>7.57</v>
      </c>
      <c r="H14" s="802">
        <v>7.95</v>
      </c>
      <c r="I14" s="802">
        <v>8.34</v>
      </c>
      <c r="J14" s="197">
        <f t="shared" si="2"/>
        <v>613284</v>
      </c>
      <c r="K14" s="197">
        <f t="shared" si="3"/>
        <v>644069</v>
      </c>
      <c r="L14" s="197">
        <f t="shared" si="0"/>
        <v>675665</v>
      </c>
      <c r="M14" s="197"/>
      <c r="N14" s="197"/>
      <c r="O14" s="383">
        <f t="shared" si="7"/>
        <v>428.65100000000001</v>
      </c>
      <c r="P14" s="563">
        <f t="shared" si="4"/>
        <v>613283.85</v>
      </c>
      <c r="Q14" s="563">
        <f t="shared" si="5"/>
        <v>644069.56000000006</v>
      </c>
      <c r="R14" s="563">
        <f t="shared" si="6"/>
        <v>675665.43</v>
      </c>
    </row>
    <row r="15" spans="1:18" s="18" customFormat="1" ht="13.5" thickBot="1" x14ac:dyDescent="0.25">
      <c r="A15" s="71" t="str">
        <f>Тепло!A15</f>
        <v>Итого</v>
      </c>
      <c r="B15" s="296">
        <f>SUM(B6:B14)</f>
        <v>3498</v>
      </c>
      <c r="C15" s="108">
        <f>SUM(C6:C14)</f>
        <v>1050552</v>
      </c>
      <c r="D15" s="108">
        <f>SUM(D6:D14)</f>
        <v>1050552</v>
      </c>
      <c r="E15" s="108">
        <f>SUM(E6:E14)</f>
        <v>1050552</v>
      </c>
      <c r="F15" s="108">
        <f>ROUND(AVERAGE(F6:F14),2)</f>
        <v>6.97</v>
      </c>
      <c r="G15" s="108">
        <f>ROUND(AVERAGE(G6:G14),2)</f>
        <v>7.57</v>
      </c>
      <c r="H15" s="108">
        <f>ROUND(AVERAGE(H6:H14),2)</f>
        <v>7.95</v>
      </c>
      <c r="I15" s="108">
        <f>ROUND(AVERAGE(I6:I14),2)</f>
        <v>8.34</v>
      </c>
      <c r="J15" s="108">
        <f>SUM(J6:J14)</f>
        <v>7952679</v>
      </c>
      <c r="K15" s="108">
        <f>SUM(K6:K14)</f>
        <v>8351889</v>
      </c>
      <c r="L15" s="108">
        <f>SUM(L6:L14)</f>
        <v>8761603</v>
      </c>
      <c r="M15" s="108">
        <f>SUM(M6:M14)</f>
        <v>0</v>
      </c>
      <c r="N15" s="108">
        <f>SUM(N6:N14)</f>
        <v>0</v>
      </c>
      <c r="O15" s="385">
        <f>ROUND(MEDIAN(O6:O14),3)</f>
        <v>329.70600000000002</v>
      </c>
      <c r="P15" s="108">
        <f>SUM(P6:P14)</f>
        <v>7952675.9499999993</v>
      </c>
      <c r="Q15" s="108">
        <f>SUM(Q6:Q14)</f>
        <v>8351885.5800000001</v>
      </c>
      <c r="R15" s="254">
        <f>SUM(R6:R14)</f>
        <v>8761600.7400000002</v>
      </c>
    </row>
    <row r="16" spans="1:18" x14ac:dyDescent="0.2">
      <c r="O16" s="138" t="s">
        <v>240</v>
      </c>
      <c r="P16" s="141">
        <f>ROUND(G15*O15,2)</f>
        <v>2495.87</v>
      </c>
      <c r="Q16" s="141">
        <f>ROUND(H15*O15,2)</f>
        <v>2621.16</v>
      </c>
      <c r="R16" s="141">
        <f>ROUND(I15*O15,2)</f>
        <v>2749.75</v>
      </c>
    </row>
    <row r="18" spans="5:5" x14ac:dyDescent="0.2">
      <c r="E18" s="14"/>
    </row>
    <row r="19" spans="5:5" x14ac:dyDescent="0.2">
      <c r="E19" s="14"/>
    </row>
    <row r="20" spans="5:5" x14ac:dyDescent="0.2">
      <c r="E20" s="14"/>
    </row>
    <row r="21" spans="5:5" x14ac:dyDescent="0.2">
      <c r="E21" s="14"/>
    </row>
    <row r="22" spans="5:5" x14ac:dyDescent="0.2">
      <c r="E22" s="14"/>
    </row>
    <row r="23" spans="5:5" x14ac:dyDescent="0.2">
      <c r="E23" s="14"/>
    </row>
  </sheetData>
  <mergeCells count="19">
    <mergeCell ref="A1:R1"/>
    <mergeCell ref="A2:A5"/>
    <mergeCell ref="C2:E2"/>
    <mergeCell ref="F2:I2"/>
    <mergeCell ref="F4:I4"/>
    <mergeCell ref="C3:C5"/>
    <mergeCell ref="D3:D5"/>
    <mergeCell ref="E3:E5"/>
    <mergeCell ref="P2:P5"/>
    <mergeCell ref="Q2:Q5"/>
    <mergeCell ref="R2:R5"/>
    <mergeCell ref="O2:O5"/>
    <mergeCell ref="B2:B5"/>
    <mergeCell ref="J2:J5"/>
    <mergeCell ref="K2:K5"/>
    <mergeCell ref="L2:L5"/>
    <mergeCell ref="M2:N3"/>
    <mergeCell ref="M4:M5"/>
    <mergeCell ref="N4:N5"/>
  </mergeCells>
  <pageMargins left="0.75" right="0.75" top="1" bottom="1" header="0.5" footer="0.5"/>
  <pageSetup paperSize="9" scale="59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/>
  <dimension ref="A1:P99"/>
  <sheetViews>
    <sheetView zoomScale="110" zoomScaleNormal="110" workbookViewId="0">
      <selection activeCell="AE14" sqref="AE14"/>
    </sheetView>
  </sheetViews>
  <sheetFormatPr defaultColWidth="9.140625" defaultRowHeight="12.75" x14ac:dyDescent="0.2"/>
  <cols>
    <col min="1" max="1" width="40.28515625" style="170" customWidth="1"/>
    <col min="2" max="2" width="12.5703125" style="68" customWidth="1"/>
    <col min="3" max="3" width="9.28515625" style="170" bestFit="1" customWidth="1"/>
    <col min="4" max="4" width="11.140625" style="170" bestFit="1" customWidth="1"/>
    <col min="5" max="11" width="9.28515625" style="170" bestFit="1" customWidth="1"/>
    <col min="12" max="12" width="11.140625" style="170" bestFit="1" customWidth="1"/>
    <col min="13" max="13" width="27.7109375" style="170" customWidth="1"/>
    <col min="14" max="16384" width="9.140625" style="170"/>
  </cols>
  <sheetData>
    <row r="1" spans="1:16" x14ac:dyDescent="0.2">
      <c r="A1" s="1246" t="s">
        <v>360</v>
      </c>
      <c r="B1" s="1247"/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247"/>
    </row>
    <row r="2" spans="1:16" x14ac:dyDescent="0.2">
      <c r="A2" s="1248" t="s">
        <v>216</v>
      </c>
      <c r="B2" s="1248"/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</row>
    <row r="3" spans="1:16" ht="70.5" customHeight="1" x14ac:dyDescent="0.2">
      <c r="A3" s="1255" t="s">
        <v>180</v>
      </c>
      <c r="B3" s="1256" t="s">
        <v>217</v>
      </c>
      <c r="C3" s="1221" t="s">
        <v>218</v>
      </c>
      <c r="D3" s="1221"/>
      <c r="E3" s="1221"/>
      <c r="F3" s="1249" t="s">
        <v>200</v>
      </c>
      <c r="G3" s="1250"/>
      <c r="H3" s="1250"/>
      <c r="I3" s="1250"/>
      <c r="J3" s="1250"/>
      <c r="K3" s="1250"/>
      <c r="L3" s="1251"/>
      <c r="M3" s="1221" t="s">
        <v>219</v>
      </c>
    </row>
    <row r="4" spans="1:16" ht="15" customHeight="1" x14ac:dyDescent="0.2">
      <c r="A4" s="1221"/>
      <c r="B4" s="1256"/>
      <c r="C4" s="1221"/>
      <c r="D4" s="1221"/>
      <c r="E4" s="1221"/>
      <c r="F4" s="1252"/>
      <c r="G4" s="1253"/>
      <c r="H4" s="1253"/>
      <c r="I4" s="1253"/>
      <c r="J4" s="1253"/>
      <c r="K4" s="1253"/>
      <c r="L4" s="1254"/>
      <c r="M4" s="1221"/>
    </row>
    <row r="5" spans="1:16" x14ac:dyDescent="0.2">
      <c r="A5" s="1221"/>
      <c r="B5" s="1256"/>
      <c r="C5" s="319" t="s">
        <v>220</v>
      </c>
      <c r="D5" s="319" t="s">
        <v>221</v>
      </c>
      <c r="E5" s="319" t="s">
        <v>222</v>
      </c>
      <c r="F5" s="319" t="s">
        <v>223</v>
      </c>
      <c r="G5" s="319" t="s">
        <v>224</v>
      </c>
      <c r="H5" s="319" t="s">
        <v>225</v>
      </c>
      <c r="I5" s="319" t="s">
        <v>226</v>
      </c>
      <c r="J5" s="319" t="s">
        <v>227</v>
      </c>
      <c r="K5" s="319" t="s">
        <v>228</v>
      </c>
      <c r="L5" s="319" t="s">
        <v>229</v>
      </c>
      <c r="M5" s="1221"/>
    </row>
    <row r="6" spans="1:16" ht="15.75" customHeight="1" x14ac:dyDescent="0.2">
      <c r="A6" s="319">
        <v>1</v>
      </c>
      <c r="B6" s="256">
        <v>2</v>
      </c>
      <c r="C6" s="319">
        <v>3</v>
      </c>
      <c r="D6" s="319">
        <v>4</v>
      </c>
      <c r="E6" s="319">
        <v>5</v>
      </c>
      <c r="F6" s="319">
        <v>6</v>
      </c>
      <c r="G6" s="319">
        <v>7</v>
      </c>
      <c r="H6" s="319">
        <v>8</v>
      </c>
      <c r="I6" s="319">
        <v>9</v>
      </c>
      <c r="J6" s="319">
        <v>10</v>
      </c>
      <c r="K6" s="319">
        <v>11</v>
      </c>
      <c r="L6" s="319">
        <v>12</v>
      </c>
      <c r="M6" s="319" t="s">
        <v>230</v>
      </c>
    </row>
    <row r="7" spans="1:16" ht="42.75" customHeight="1" x14ac:dyDescent="0.2">
      <c r="A7" s="331" t="str">
        <f>'БН реализация 2021'!A4</f>
        <v>Реализация основных общеобразовательных программ дошкольного образования От 1 года до 3 лет Очная группа полного дня</v>
      </c>
      <c r="B7" s="469" t="s">
        <v>343</v>
      </c>
      <c r="C7" s="319"/>
      <c r="D7" s="319"/>
      <c r="E7" s="319"/>
      <c r="F7" s="155">
        <f>'БН реализация 2021'!G4</f>
        <v>8588.2200000000012</v>
      </c>
      <c r="G7" s="155">
        <f>'БН реализация 2021'!J4</f>
        <v>490.65999999999997</v>
      </c>
      <c r="H7" s="155">
        <f>'БН реализация 2021'!N4</f>
        <v>158.88</v>
      </c>
      <c r="I7" s="155">
        <f>'БН реализация 2021'!O4</f>
        <v>393.6</v>
      </c>
      <c r="J7" s="155"/>
      <c r="K7" s="155"/>
      <c r="L7" s="155">
        <f>'БН реализация 2021'!Z4</f>
        <v>613.29</v>
      </c>
      <c r="M7" s="155">
        <f t="shared" ref="M7:M12" si="0">SUM(C7:L7)</f>
        <v>10244.650000000001</v>
      </c>
      <c r="O7" s="186">
        <f>'БН реализация 2021'!AA4</f>
        <v>10244.650000000001</v>
      </c>
      <c r="P7" s="186">
        <f>O7-M7</f>
        <v>0</v>
      </c>
    </row>
    <row r="8" spans="1:16" ht="43.5" customHeight="1" x14ac:dyDescent="0.2">
      <c r="A8" s="331" t="str">
        <f>'БН реализация 2021'!A5</f>
        <v>Реализация основных общеобразовательных программ дошкольного образования От 3 лет до 8 лет Очная группа полного дня</v>
      </c>
      <c r="B8" s="469" t="s">
        <v>344</v>
      </c>
      <c r="C8" s="319"/>
      <c r="D8" s="319"/>
      <c r="E8" s="319"/>
      <c r="F8" s="155">
        <f>'БН реализация 2021'!G5</f>
        <v>8588.2200000000012</v>
      </c>
      <c r="G8" s="155">
        <f>'БН реализация 2021'!J5</f>
        <v>490.65999999999997</v>
      </c>
      <c r="H8" s="155">
        <f>'БН реализация 2021'!N5</f>
        <v>158.88</v>
      </c>
      <c r="I8" s="155">
        <f>'БН реализация 2021'!O5</f>
        <v>393.6</v>
      </c>
      <c r="J8" s="155"/>
      <c r="K8" s="155"/>
      <c r="L8" s="155">
        <f>'БН реализация 2021'!Z5</f>
        <v>521.6</v>
      </c>
      <c r="M8" s="155">
        <f t="shared" si="0"/>
        <v>10152.960000000001</v>
      </c>
      <c r="O8" s="186">
        <f>'БН реализация 2021'!AA5</f>
        <v>10152.960000000001</v>
      </c>
      <c r="P8" s="186">
        <f t="shared" ref="P8:P20" si="1">O8-M8</f>
        <v>0</v>
      </c>
    </row>
    <row r="9" spans="1:16" ht="71.45" customHeight="1" x14ac:dyDescent="0.2">
      <c r="A9" s="331" t="str">
        <f>'БН реализация 2021'!A6</f>
        <v>Реализация основных общеобразовательных программ дошкольного образования Обучающиеся с ограниченными возможностями здоровья (ОВЗ) От 1 года до 3 лет Очная группа полного дня</v>
      </c>
      <c r="B9" s="469" t="s">
        <v>377</v>
      </c>
      <c r="C9" s="549"/>
      <c r="D9" s="549"/>
      <c r="E9" s="549"/>
      <c r="F9" s="155">
        <f>'БН реализация 2021'!G6</f>
        <v>8588.2200000000012</v>
      </c>
      <c r="G9" s="155">
        <f>'БН реализация 2021'!J6</f>
        <v>490.65999999999997</v>
      </c>
      <c r="H9" s="155">
        <f>'БН реализация 2021'!N6</f>
        <v>158.88</v>
      </c>
      <c r="I9" s="155">
        <f>'БН реализация 2021'!O6</f>
        <v>393.6</v>
      </c>
      <c r="J9" s="155"/>
      <c r="K9" s="155"/>
      <c r="L9" s="155">
        <f>'БН реализация 2021'!Z6</f>
        <v>613.29</v>
      </c>
      <c r="M9" s="155">
        <f t="shared" si="0"/>
        <v>10244.650000000001</v>
      </c>
      <c r="O9" s="186">
        <f>'БН реализация 2021'!AA6</f>
        <v>10244.650000000001</v>
      </c>
      <c r="P9" s="186">
        <f t="shared" si="1"/>
        <v>0</v>
      </c>
    </row>
    <row r="10" spans="1:16" ht="67.5" customHeight="1" x14ac:dyDescent="0.2">
      <c r="A10" s="331" t="str">
        <f>'БН реализация 2021'!A7</f>
        <v>Реализация основных общеобразовательных программ дошкольного образования Обучающиеся с ограниченными возможностями здоровья (ОВЗ) От 3 лет до 8 лет Очная группа полного дня</v>
      </c>
      <c r="B10" s="469" t="s">
        <v>345</v>
      </c>
      <c r="C10" s="319"/>
      <c r="D10" s="319"/>
      <c r="E10" s="319"/>
      <c r="F10" s="155">
        <f>'БН реализация 2021'!G7</f>
        <v>8588.2200000000012</v>
      </c>
      <c r="G10" s="155">
        <f>'БН реализация 2021'!J7</f>
        <v>490.65999999999997</v>
      </c>
      <c r="H10" s="155">
        <f>'БН реализация 2021'!N7</f>
        <v>158.88</v>
      </c>
      <c r="I10" s="155">
        <f>'БН реализация 2021'!O7</f>
        <v>393.6</v>
      </c>
      <c r="J10" s="155"/>
      <c r="K10" s="155"/>
      <c r="L10" s="155">
        <f>'БН реализация 2021'!Z7</f>
        <v>521.6</v>
      </c>
      <c r="M10" s="155">
        <f t="shared" si="0"/>
        <v>10152.960000000001</v>
      </c>
      <c r="O10" s="186">
        <f>'БН реализация 2021'!AA7</f>
        <v>10152.960000000001</v>
      </c>
      <c r="P10" s="186">
        <f t="shared" si="1"/>
        <v>0</v>
      </c>
    </row>
    <row r="11" spans="1:16" ht="81" customHeight="1" x14ac:dyDescent="0.2">
      <c r="A11" s="331" t="str">
        <f>'БН реализация 2021'!A8</f>
        <v>Реализация основных общеобразовательных программ дошкольного образования Адаптированная образовательная программа От 3 лет до 8 лет Очная группа полного дня</v>
      </c>
      <c r="B11" s="469" t="s">
        <v>346</v>
      </c>
      <c r="C11" s="330"/>
      <c r="D11" s="330"/>
      <c r="E11" s="330"/>
      <c r="F11" s="155">
        <f>'БН реализация 2021'!G8</f>
        <v>8588.2200000000012</v>
      </c>
      <c r="G11" s="155">
        <f>'БН реализация 2021'!J8</f>
        <v>490.65999999999997</v>
      </c>
      <c r="H11" s="155">
        <f>'БН реализация 2021'!N8</f>
        <v>158.88</v>
      </c>
      <c r="I11" s="155">
        <f>'БН реализация 2021'!O8</f>
        <v>393.6</v>
      </c>
      <c r="J11" s="155"/>
      <c r="K11" s="155"/>
      <c r="L11" s="155">
        <f>'БН реализация 2021'!Z8</f>
        <v>521.6</v>
      </c>
      <c r="M11" s="155">
        <f t="shared" si="0"/>
        <v>10152.960000000001</v>
      </c>
      <c r="O11" s="186">
        <f>'БН реализация 2021'!AA8</f>
        <v>10152.960000000001</v>
      </c>
      <c r="P11" s="186">
        <f t="shared" si="1"/>
        <v>0</v>
      </c>
    </row>
    <row r="12" spans="1:16" ht="42.75" customHeight="1" x14ac:dyDescent="0.2">
      <c r="A12" s="334" t="str">
        <f>'БН присмотр 2021'!A4</f>
        <v>Присмотр и уход Дети-сироты и дети, оставшиеся без попечения родителей От 1 года до 3 лет группа полного дня</v>
      </c>
      <c r="B12" s="469" t="s">
        <v>349</v>
      </c>
      <c r="C12" s="312"/>
      <c r="D12" s="155">
        <f>'БН присмотр 2021'!B4</f>
        <v>30162.2</v>
      </c>
      <c r="E12" s="317"/>
      <c r="F12" s="312"/>
      <c r="G12" s="312"/>
      <c r="H12" s="312"/>
      <c r="I12" s="312"/>
      <c r="J12" s="312"/>
      <c r="K12" s="312"/>
      <c r="L12" s="165">
        <f>'БН присмотр 2021'!C4</f>
        <v>695.3599999999999</v>
      </c>
      <c r="M12" s="155">
        <f t="shared" si="0"/>
        <v>30857.56</v>
      </c>
      <c r="O12" s="186">
        <f>'БН присмотр 2021'!D4</f>
        <v>30857.56</v>
      </c>
      <c r="P12" s="186">
        <f t="shared" si="1"/>
        <v>0</v>
      </c>
    </row>
    <row r="13" spans="1:16" ht="42" customHeight="1" x14ac:dyDescent="0.2">
      <c r="A13" s="334" t="str">
        <f>'БН присмотр 2021'!A5</f>
        <v>Присмотр и уход Физические лица за исключением льготных категорий От 1 года до 3 лет группа полного дня</v>
      </c>
      <c r="B13" s="469" t="s">
        <v>347</v>
      </c>
      <c r="C13" s="312"/>
      <c r="D13" s="155">
        <f>'БН присмотр 2021'!B5</f>
        <v>30162.2</v>
      </c>
      <c r="E13" s="317"/>
      <c r="F13" s="312"/>
      <c r="G13" s="312"/>
      <c r="H13" s="312"/>
      <c r="I13" s="312"/>
      <c r="J13" s="312"/>
      <c r="K13" s="312"/>
      <c r="L13" s="165">
        <f>'БН присмотр 2021'!C5</f>
        <v>695.3599999999999</v>
      </c>
      <c r="M13" s="155">
        <f t="shared" ref="M13:M20" si="2">SUM(C13:L13)</f>
        <v>30857.56</v>
      </c>
      <c r="O13" s="186">
        <f>'БН присмотр 2021'!D5</f>
        <v>30857.56</v>
      </c>
      <c r="P13" s="186">
        <f t="shared" si="1"/>
        <v>0</v>
      </c>
    </row>
    <row r="14" spans="1:16" ht="42" customHeight="1" x14ac:dyDescent="0.2">
      <c r="A14" s="334" t="str">
        <f>'БН присмотр 2021'!A6</f>
        <v>Присмотр и уход Физические лица льготных категорий, определяемых учредителем От 3 лет до 8 лет группа полного дня</v>
      </c>
      <c r="B14" s="469" t="s">
        <v>377</v>
      </c>
      <c r="C14" s="312"/>
      <c r="D14" s="155">
        <f>'БН присмотр 2021'!B6</f>
        <v>30162.2</v>
      </c>
      <c r="E14" s="317"/>
      <c r="F14" s="312"/>
      <c r="G14" s="312"/>
      <c r="H14" s="312"/>
      <c r="I14" s="312"/>
      <c r="J14" s="312"/>
      <c r="K14" s="312"/>
      <c r="L14" s="165">
        <f>'БН присмотр 2021'!C6</f>
        <v>695.3599999999999</v>
      </c>
      <c r="M14" s="155">
        <f t="shared" si="2"/>
        <v>30857.56</v>
      </c>
      <c r="O14" s="186">
        <f>'БН присмотр 2021'!D6</f>
        <v>30857.56</v>
      </c>
      <c r="P14" s="186">
        <f t="shared" si="1"/>
        <v>0</v>
      </c>
    </row>
    <row r="15" spans="1:16" ht="42" customHeight="1" x14ac:dyDescent="0.2">
      <c r="A15" s="334" t="str">
        <f>'БН присмотр 2021'!A7</f>
        <v>Присмотр и уход Дети-инвалиды От 1 лет до 3 лет группа полного дня</v>
      </c>
      <c r="B15" s="469" t="s">
        <v>666</v>
      </c>
      <c r="C15" s="312"/>
      <c r="D15" s="155">
        <f>'БН присмотр 2021'!B7</f>
        <v>30162.2</v>
      </c>
      <c r="E15" s="317"/>
      <c r="F15" s="312"/>
      <c r="G15" s="312"/>
      <c r="H15" s="312"/>
      <c r="I15" s="312"/>
      <c r="J15" s="312"/>
      <c r="K15" s="312"/>
      <c r="L15" s="165">
        <f>'БН присмотр 2021'!C7</f>
        <v>695.3599999999999</v>
      </c>
      <c r="M15" s="155">
        <f t="shared" si="2"/>
        <v>30857.56</v>
      </c>
      <c r="O15" s="186">
        <f>'БН присмотр 2021'!D7</f>
        <v>30857.56</v>
      </c>
      <c r="P15" s="186">
        <f>O15-M15</f>
        <v>0</v>
      </c>
    </row>
    <row r="16" spans="1:16" ht="39.75" customHeight="1" x14ac:dyDescent="0.2">
      <c r="A16" s="334" t="e">
        <f>'БН присмотр 2021'!A8</f>
        <v>#REF!</v>
      </c>
      <c r="B16" s="473" t="s">
        <v>356</v>
      </c>
      <c r="C16" s="312"/>
      <c r="D16" s="155">
        <f>'БН присмотр 2021'!B8</f>
        <v>35596.199999999997</v>
      </c>
      <c r="E16" s="317"/>
      <c r="F16" s="312"/>
      <c r="G16" s="312"/>
      <c r="H16" s="312"/>
      <c r="I16" s="312"/>
      <c r="J16" s="312"/>
      <c r="K16" s="312"/>
      <c r="L16" s="165">
        <f>'БН присмотр 2021'!C8</f>
        <v>534.89</v>
      </c>
      <c r="M16" s="155">
        <f t="shared" si="2"/>
        <v>36131.089999999997</v>
      </c>
      <c r="O16" s="186">
        <f>'БН присмотр 2021'!D8</f>
        <v>36131.089999999997</v>
      </c>
      <c r="P16" s="186">
        <f t="shared" si="1"/>
        <v>0</v>
      </c>
    </row>
    <row r="17" spans="1:16" ht="42.75" customHeight="1" x14ac:dyDescent="0.2">
      <c r="A17" s="334" t="str">
        <f>'БН присмотр 2021'!A9</f>
        <v>Присмотр и уход Дети с туберкулезной интоксикацией От 3 лет до 8 лет группа полного дня</v>
      </c>
      <c r="B17" s="469" t="s">
        <v>352</v>
      </c>
      <c r="C17" s="312"/>
      <c r="D17" s="155">
        <f>'БН присмотр 2021'!B9</f>
        <v>35596.199999999997</v>
      </c>
      <c r="E17" s="317"/>
      <c r="F17" s="312"/>
      <c r="G17" s="312"/>
      <c r="H17" s="312"/>
      <c r="I17" s="312"/>
      <c r="J17" s="312"/>
      <c r="K17" s="312"/>
      <c r="L17" s="165">
        <f>'БН присмотр 2021'!C9</f>
        <v>534.89</v>
      </c>
      <c r="M17" s="155">
        <f t="shared" si="2"/>
        <v>36131.089999999997</v>
      </c>
      <c r="O17" s="186">
        <f>'БН присмотр 2021'!D9</f>
        <v>36131.089999999997</v>
      </c>
      <c r="P17" s="186">
        <f t="shared" si="1"/>
        <v>0</v>
      </c>
    </row>
    <row r="18" spans="1:16" ht="42" customHeight="1" x14ac:dyDescent="0.2">
      <c r="A18" s="334" t="str">
        <f>'БН присмотр 2021'!A10</f>
        <v>Присмотр и уход Дети-сироты и дети, оставшиеся без попечения родителей От 3 лет до 8 лет группа полного дня</v>
      </c>
      <c r="B18" s="469" t="s">
        <v>350</v>
      </c>
      <c r="C18" s="312"/>
      <c r="D18" s="155">
        <f>'БН присмотр 2021'!B10</f>
        <v>35596.199999999997</v>
      </c>
      <c r="E18" s="317"/>
      <c r="F18" s="312"/>
      <c r="G18" s="312"/>
      <c r="H18" s="312"/>
      <c r="I18" s="312"/>
      <c r="J18" s="312"/>
      <c r="K18" s="312"/>
      <c r="L18" s="165">
        <f>'БН присмотр 2021'!C10</f>
        <v>534.89</v>
      </c>
      <c r="M18" s="155">
        <f t="shared" si="2"/>
        <v>36131.089999999997</v>
      </c>
      <c r="O18" s="186">
        <f>'БН присмотр 2021'!D10</f>
        <v>36131.089999999997</v>
      </c>
      <c r="P18" s="186">
        <f t="shared" si="1"/>
        <v>0</v>
      </c>
    </row>
    <row r="19" spans="1:16" s="335" customFormat="1" ht="31.5" customHeight="1" x14ac:dyDescent="0.2">
      <c r="A19" s="334" t="str">
        <f>'БН присмотр 2021'!A11</f>
        <v>Присмотр и уход Дети-инвалиды От 3 лет до 8 лет группа полного дня</v>
      </c>
      <c r="B19" s="469" t="s">
        <v>351</v>
      </c>
      <c r="C19" s="312"/>
      <c r="D19" s="155">
        <f>'БН присмотр 2021'!B11</f>
        <v>35596.199999999997</v>
      </c>
      <c r="E19" s="312"/>
      <c r="F19" s="312"/>
      <c r="G19" s="312"/>
      <c r="H19" s="312"/>
      <c r="I19" s="312"/>
      <c r="J19" s="312"/>
      <c r="K19" s="312"/>
      <c r="L19" s="165">
        <f>'БН присмотр 2021'!C11</f>
        <v>534.89</v>
      </c>
      <c r="M19" s="155">
        <f t="shared" si="2"/>
        <v>36131.089999999997</v>
      </c>
      <c r="O19" s="186">
        <f>'БН присмотр 2021'!D11</f>
        <v>36131.089999999997</v>
      </c>
      <c r="P19" s="186">
        <f t="shared" si="1"/>
        <v>0</v>
      </c>
    </row>
    <row r="20" spans="1:16" s="335" customFormat="1" ht="47.25" customHeight="1" x14ac:dyDescent="0.2">
      <c r="A20" s="334" t="str">
        <f>'БН присмотр 2021'!A12</f>
        <v>Присмотр и уход Физические лица за исключением льготных категорий От 3 лет до 8 лет группа полного дня</v>
      </c>
      <c r="B20" s="469" t="s">
        <v>348</v>
      </c>
      <c r="C20" s="312"/>
      <c r="D20" s="155">
        <f>'БН присмотр 2021'!B12</f>
        <v>35596.199999999997</v>
      </c>
      <c r="E20" s="312"/>
      <c r="F20" s="312"/>
      <c r="G20" s="312"/>
      <c r="H20" s="312"/>
      <c r="I20" s="312"/>
      <c r="J20" s="312"/>
      <c r="K20" s="312"/>
      <c r="L20" s="165">
        <f>'БН присмотр 2021'!C12</f>
        <v>534.89</v>
      </c>
      <c r="M20" s="155">
        <f t="shared" si="2"/>
        <v>36131.089999999997</v>
      </c>
      <c r="O20" s="186">
        <f>'БН присмотр 2021'!D12</f>
        <v>36131.089999999997</v>
      </c>
      <c r="P20" s="186">
        <f t="shared" si="1"/>
        <v>0</v>
      </c>
    </row>
    <row r="21" spans="1:16" s="335" customFormat="1" x14ac:dyDescent="0.2">
      <c r="A21" s="157"/>
      <c r="B21" s="338"/>
    </row>
    <row r="22" spans="1:16" s="335" customFormat="1" x14ac:dyDescent="0.2">
      <c r="A22" s="157"/>
      <c r="B22" s="338"/>
    </row>
    <row r="23" spans="1:16" s="335" customFormat="1" x14ac:dyDescent="0.2">
      <c r="A23" s="157"/>
      <c r="B23" s="338"/>
    </row>
    <row r="24" spans="1:16" s="335" customFormat="1" x14ac:dyDescent="0.2">
      <c r="A24" s="157"/>
      <c r="B24" s="338"/>
    </row>
    <row r="25" spans="1:16" s="335" customFormat="1" x14ac:dyDescent="0.2">
      <c r="A25" s="157"/>
      <c r="B25" s="338"/>
    </row>
    <row r="26" spans="1:16" s="335" customFormat="1" x14ac:dyDescent="0.2">
      <c r="A26" s="157"/>
      <c r="B26" s="338"/>
    </row>
    <row r="27" spans="1:16" s="335" customFormat="1" x14ac:dyDescent="0.2">
      <c r="A27" s="157"/>
      <c r="B27" s="338"/>
    </row>
    <row r="28" spans="1:16" s="335" customFormat="1" x14ac:dyDescent="0.2">
      <c r="A28" s="157"/>
      <c r="B28" s="338"/>
    </row>
    <row r="29" spans="1:16" s="335" customFormat="1" x14ac:dyDescent="0.2">
      <c r="A29" s="157"/>
      <c r="B29" s="338"/>
    </row>
    <row r="30" spans="1:16" s="335" customFormat="1" x14ac:dyDescent="0.2">
      <c r="A30" s="157"/>
      <c r="B30" s="338"/>
    </row>
    <row r="31" spans="1:16" s="335" customFormat="1" x14ac:dyDescent="0.2">
      <c r="A31" s="157"/>
      <c r="B31" s="338"/>
    </row>
    <row r="32" spans="1:16" s="335" customFormat="1" x14ac:dyDescent="0.2">
      <c r="A32" s="157"/>
      <c r="B32" s="338"/>
    </row>
    <row r="33" spans="1:2" s="335" customFormat="1" x14ac:dyDescent="0.2">
      <c r="A33" s="157"/>
      <c r="B33" s="338"/>
    </row>
    <row r="34" spans="1:2" s="335" customFormat="1" x14ac:dyDescent="0.2">
      <c r="A34" s="157"/>
      <c r="B34" s="338"/>
    </row>
    <row r="35" spans="1:2" s="335" customFormat="1" x14ac:dyDescent="0.2">
      <c r="A35" s="157"/>
      <c r="B35" s="338"/>
    </row>
    <row r="36" spans="1:2" s="335" customFormat="1" x14ac:dyDescent="0.2">
      <c r="A36" s="157"/>
      <c r="B36" s="338"/>
    </row>
    <row r="37" spans="1:2" s="335" customFormat="1" x14ac:dyDescent="0.2">
      <c r="A37" s="157"/>
      <c r="B37" s="338"/>
    </row>
    <row r="38" spans="1:2" s="335" customFormat="1" x14ac:dyDescent="0.2">
      <c r="A38" s="157"/>
      <c r="B38" s="338"/>
    </row>
    <row r="39" spans="1:2" s="335" customFormat="1" x14ac:dyDescent="0.2">
      <c r="A39" s="157"/>
      <c r="B39" s="338"/>
    </row>
    <row r="40" spans="1:2" s="335" customFormat="1" x14ac:dyDescent="0.2">
      <c r="A40" s="157"/>
      <c r="B40" s="338"/>
    </row>
    <row r="41" spans="1:2" s="335" customFormat="1" x14ac:dyDescent="0.2">
      <c r="A41" s="157"/>
      <c r="B41" s="338"/>
    </row>
    <row r="42" spans="1:2" s="335" customFormat="1" x14ac:dyDescent="0.2">
      <c r="A42" s="157"/>
      <c r="B42" s="338"/>
    </row>
    <row r="43" spans="1:2" s="335" customFormat="1" x14ac:dyDescent="0.2">
      <c r="A43" s="157"/>
      <c r="B43" s="338"/>
    </row>
    <row r="44" spans="1:2" s="335" customFormat="1" x14ac:dyDescent="0.2">
      <c r="A44" s="157"/>
      <c r="B44" s="338"/>
    </row>
    <row r="45" spans="1:2" s="335" customFormat="1" x14ac:dyDescent="0.2">
      <c r="A45" s="157"/>
      <c r="B45" s="338"/>
    </row>
    <row r="46" spans="1:2" s="335" customFormat="1" x14ac:dyDescent="0.2">
      <c r="A46" s="157"/>
      <c r="B46" s="338"/>
    </row>
    <row r="47" spans="1:2" s="335" customFormat="1" x14ac:dyDescent="0.2">
      <c r="A47" s="157"/>
      <c r="B47" s="338"/>
    </row>
    <row r="48" spans="1:2" s="335" customFormat="1" x14ac:dyDescent="0.2">
      <c r="A48" s="157"/>
      <c r="B48" s="338"/>
    </row>
    <row r="49" spans="1:2" s="335" customFormat="1" x14ac:dyDescent="0.2">
      <c r="A49" s="157"/>
      <c r="B49" s="338"/>
    </row>
    <row r="50" spans="1:2" s="335" customFormat="1" x14ac:dyDescent="0.2">
      <c r="A50" s="157"/>
      <c r="B50" s="338"/>
    </row>
    <row r="51" spans="1:2" s="335" customFormat="1" x14ac:dyDescent="0.2">
      <c r="A51" s="157"/>
      <c r="B51" s="338"/>
    </row>
    <row r="52" spans="1:2" s="335" customFormat="1" x14ac:dyDescent="0.2">
      <c r="A52" s="157"/>
      <c r="B52" s="338"/>
    </row>
    <row r="53" spans="1:2" s="335" customFormat="1" x14ac:dyDescent="0.2">
      <c r="A53" s="157"/>
      <c r="B53" s="338"/>
    </row>
    <row r="54" spans="1:2" s="335" customFormat="1" x14ac:dyDescent="0.2">
      <c r="A54" s="157"/>
      <c r="B54" s="338"/>
    </row>
    <row r="55" spans="1:2" s="335" customFormat="1" x14ac:dyDescent="0.2">
      <c r="A55" s="157"/>
      <c r="B55" s="338"/>
    </row>
    <row r="56" spans="1:2" s="335" customFormat="1" x14ac:dyDescent="0.2">
      <c r="A56" s="157"/>
      <c r="B56" s="338"/>
    </row>
    <row r="57" spans="1:2" s="335" customFormat="1" x14ac:dyDescent="0.2">
      <c r="A57" s="157"/>
      <c r="B57" s="338"/>
    </row>
    <row r="58" spans="1:2" s="335" customFormat="1" x14ac:dyDescent="0.2">
      <c r="A58" s="157"/>
      <c r="B58" s="338"/>
    </row>
    <row r="59" spans="1:2" s="335" customFormat="1" x14ac:dyDescent="0.2">
      <c r="A59" s="157"/>
      <c r="B59" s="338"/>
    </row>
    <row r="60" spans="1:2" s="335" customFormat="1" x14ac:dyDescent="0.2">
      <c r="A60" s="157"/>
      <c r="B60" s="338"/>
    </row>
    <row r="61" spans="1:2" s="335" customFormat="1" x14ac:dyDescent="0.2">
      <c r="A61" s="157"/>
      <c r="B61" s="338"/>
    </row>
    <row r="62" spans="1:2" s="335" customFormat="1" x14ac:dyDescent="0.2">
      <c r="A62" s="157"/>
      <c r="B62" s="338"/>
    </row>
    <row r="63" spans="1:2" s="335" customFormat="1" x14ac:dyDescent="0.2">
      <c r="A63" s="157"/>
      <c r="B63" s="338"/>
    </row>
    <row r="64" spans="1:2" s="335" customFormat="1" x14ac:dyDescent="0.2">
      <c r="A64" s="157"/>
      <c r="B64" s="338"/>
    </row>
    <row r="65" spans="1:2" s="335" customFormat="1" x14ac:dyDescent="0.2">
      <c r="A65" s="157"/>
      <c r="B65" s="338"/>
    </row>
    <row r="66" spans="1:2" s="335" customFormat="1" x14ac:dyDescent="0.2">
      <c r="A66" s="157"/>
      <c r="B66" s="338"/>
    </row>
    <row r="67" spans="1:2" s="335" customFormat="1" x14ac:dyDescent="0.2">
      <c r="A67" s="157"/>
      <c r="B67" s="338"/>
    </row>
    <row r="68" spans="1:2" s="335" customFormat="1" x14ac:dyDescent="0.2">
      <c r="A68" s="157"/>
      <c r="B68" s="338"/>
    </row>
    <row r="69" spans="1:2" s="335" customFormat="1" x14ac:dyDescent="0.2">
      <c r="A69" s="157"/>
      <c r="B69" s="338"/>
    </row>
    <row r="70" spans="1:2" s="335" customFormat="1" x14ac:dyDescent="0.2">
      <c r="A70" s="157"/>
      <c r="B70" s="338"/>
    </row>
    <row r="71" spans="1:2" s="335" customFormat="1" x14ac:dyDescent="0.2">
      <c r="A71" s="157"/>
      <c r="B71" s="338"/>
    </row>
    <row r="72" spans="1:2" s="335" customFormat="1" x14ac:dyDescent="0.2">
      <c r="A72" s="157"/>
      <c r="B72" s="338"/>
    </row>
    <row r="73" spans="1:2" s="335" customFormat="1" x14ac:dyDescent="0.2">
      <c r="A73" s="157"/>
      <c r="B73" s="338"/>
    </row>
    <row r="74" spans="1:2" s="335" customFormat="1" x14ac:dyDescent="0.2">
      <c r="A74" s="157"/>
      <c r="B74" s="338"/>
    </row>
    <row r="75" spans="1:2" s="335" customFormat="1" x14ac:dyDescent="0.2">
      <c r="A75" s="157"/>
      <c r="B75" s="338"/>
    </row>
    <row r="76" spans="1:2" s="335" customFormat="1" x14ac:dyDescent="0.2">
      <c r="A76" s="157"/>
      <c r="B76" s="338"/>
    </row>
    <row r="77" spans="1:2" s="335" customFormat="1" x14ac:dyDescent="0.2">
      <c r="A77" s="157"/>
      <c r="B77" s="338"/>
    </row>
    <row r="78" spans="1:2" s="335" customFormat="1" x14ac:dyDescent="0.2">
      <c r="A78" s="157"/>
      <c r="B78" s="338"/>
    </row>
    <row r="79" spans="1:2" s="335" customFormat="1" x14ac:dyDescent="0.2">
      <c r="A79" s="157"/>
      <c r="B79" s="338"/>
    </row>
    <row r="80" spans="1:2" s="335" customFormat="1" x14ac:dyDescent="0.2">
      <c r="A80" s="157"/>
      <c r="B80" s="338"/>
    </row>
    <row r="81" spans="1:2" s="335" customFormat="1" x14ac:dyDescent="0.2">
      <c r="A81" s="157"/>
      <c r="B81" s="338"/>
    </row>
    <row r="82" spans="1:2" s="335" customFormat="1" x14ac:dyDescent="0.2">
      <c r="A82" s="157"/>
      <c r="B82" s="338"/>
    </row>
    <row r="83" spans="1:2" s="335" customFormat="1" x14ac:dyDescent="0.2">
      <c r="A83" s="157"/>
      <c r="B83" s="338"/>
    </row>
    <row r="84" spans="1:2" s="335" customFormat="1" x14ac:dyDescent="0.2">
      <c r="A84" s="157"/>
      <c r="B84" s="338"/>
    </row>
    <row r="85" spans="1:2" s="335" customFormat="1" x14ac:dyDescent="0.2">
      <c r="A85" s="157"/>
      <c r="B85" s="338"/>
    </row>
    <row r="86" spans="1:2" s="335" customFormat="1" x14ac:dyDescent="0.2">
      <c r="A86" s="157"/>
      <c r="B86" s="338"/>
    </row>
    <row r="87" spans="1:2" s="335" customFormat="1" x14ac:dyDescent="0.2">
      <c r="A87" s="157"/>
      <c r="B87" s="338"/>
    </row>
    <row r="88" spans="1:2" s="335" customFormat="1" x14ac:dyDescent="0.2">
      <c r="A88" s="157"/>
      <c r="B88" s="338"/>
    </row>
    <row r="89" spans="1:2" s="335" customFormat="1" x14ac:dyDescent="0.2">
      <c r="A89" s="157"/>
      <c r="B89" s="338"/>
    </row>
    <row r="90" spans="1:2" s="335" customFormat="1" x14ac:dyDescent="0.2">
      <c r="A90" s="157"/>
      <c r="B90" s="338"/>
    </row>
    <row r="91" spans="1:2" s="335" customFormat="1" x14ac:dyDescent="0.2">
      <c r="A91" s="157"/>
      <c r="B91" s="338"/>
    </row>
    <row r="92" spans="1:2" s="335" customFormat="1" x14ac:dyDescent="0.2">
      <c r="A92" s="157"/>
      <c r="B92" s="338"/>
    </row>
    <row r="93" spans="1:2" s="335" customFormat="1" x14ac:dyDescent="0.2">
      <c r="A93" s="157"/>
      <c r="B93" s="338"/>
    </row>
    <row r="94" spans="1:2" s="335" customFormat="1" x14ac:dyDescent="0.2">
      <c r="A94" s="157"/>
      <c r="B94" s="338"/>
    </row>
    <row r="95" spans="1:2" s="335" customFormat="1" x14ac:dyDescent="0.2">
      <c r="A95" s="157"/>
      <c r="B95" s="338"/>
    </row>
    <row r="96" spans="1:2" s="335" customFormat="1" x14ac:dyDescent="0.2">
      <c r="A96" s="157"/>
      <c r="B96" s="338"/>
    </row>
    <row r="97" spans="1:2" s="335" customFormat="1" x14ac:dyDescent="0.2">
      <c r="A97" s="157"/>
      <c r="B97" s="338"/>
    </row>
    <row r="98" spans="1:2" s="335" customFormat="1" x14ac:dyDescent="0.2">
      <c r="A98" s="157"/>
      <c r="B98" s="338"/>
    </row>
    <row r="99" spans="1:2" s="335" customFormat="1" x14ac:dyDescent="0.2">
      <c r="A99" s="157"/>
      <c r="B99" s="338"/>
    </row>
  </sheetData>
  <mergeCells count="7">
    <mergeCell ref="A1:M1"/>
    <mergeCell ref="A2:M2"/>
    <mergeCell ref="F3:L4"/>
    <mergeCell ref="A3:A5"/>
    <mergeCell ref="B3:B5"/>
    <mergeCell ref="C3:E4"/>
    <mergeCell ref="M3:M5"/>
  </mergeCells>
  <pageMargins left="0.7" right="0.7" top="0.75" bottom="0.75" header="0.3" footer="0.3"/>
  <pageSetup paperSize="9" scale="4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F15"/>
  <sheetViews>
    <sheetView zoomScale="110" zoomScaleNormal="110" workbookViewId="0">
      <selection activeCell="AE14" sqref="AE14"/>
    </sheetView>
  </sheetViews>
  <sheetFormatPr defaultColWidth="9.140625" defaultRowHeight="12.75" x14ac:dyDescent="0.2"/>
  <cols>
    <col min="1" max="1" width="5.42578125" style="8" customWidth="1"/>
    <col min="2" max="2" width="45.42578125" style="8" customWidth="1"/>
    <col min="3" max="3" width="17.42578125" style="8" customWidth="1"/>
    <col min="4" max="4" width="13.7109375" style="170" customWidth="1"/>
    <col min="5" max="5" width="13.140625" style="170" customWidth="1"/>
    <col min="6" max="6" width="14.28515625" style="170" customWidth="1"/>
    <col min="7" max="16384" width="9.140625" style="170"/>
  </cols>
  <sheetData>
    <row r="1" spans="1:6" x14ac:dyDescent="0.2">
      <c r="A1" s="10"/>
      <c r="B1" s="10"/>
      <c r="C1" s="10"/>
    </row>
    <row r="2" spans="1:6" ht="15.75" customHeight="1" x14ac:dyDescent="0.2">
      <c r="A2" s="468" t="s">
        <v>425</v>
      </c>
      <c r="B2" s="326"/>
      <c r="C2" s="326"/>
      <c r="D2" s="326"/>
      <c r="E2" s="326"/>
      <c r="F2" s="326"/>
    </row>
    <row r="3" spans="1:6" x14ac:dyDescent="0.2">
      <c r="B3" s="5"/>
      <c r="C3" s="5"/>
    </row>
    <row r="4" spans="1:6" ht="15" customHeight="1" x14ac:dyDescent="0.2">
      <c r="A4" s="1230" t="s">
        <v>0</v>
      </c>
      <c r="B4" s="1230" t="s">
        <v>132</v>
      </c>
      <c r="C4" s="1230" t="str">
        <f>Коэффициенты!Q3</f>
        <v>Коэффициент платной деятельности</v>
      </c>
      <c r="D4" s="1226" t="s">
        <v>297</v>
      </c>
      <c r="E4" s="1226"/>
      <c r="F4" s="1226"/>
    </row>
    <row r="5" spans="1:6" ht="28.9" customHeight="1" x14ac:dyDescent="0.2">
      <c r="A5" s="1231"/>
      <c r="B5" s="1231"/>
      <c r="C5" s="1231"/>
      <c r="D5" s="346" t="s">
        <v>298</v>
      </c>
      <c r="E5" s="346" t="s">
        <v>299</v>
      </c>
      <c r="F5" s="346" t="s">
        <v>6</v>
      </c>
    </row>
    <row r="6" spans="1:6" x14ac:dyDescent="0.2">
      <c r="A6" s="344">
        <v>2</v>
      </c>
      <c r="B6" s="324" t="str">
        <f>ОХ2021!B5</f>
        <v>МАДОУ ЦРР-детский сад № 2</v>
      </c>
      <c r="C6" s="358"/>
      <c r="D6" s="328">
        <f>'Налоги 2021'!D6</f>
        <v>245167</v>
      </c>
      <c r="E6" s="328">
        <f>'Налоги 2021'!E6</f>
        <v>216605</v>
      </c>
      <c r="F6" s="327">
        <f>ROUND((D6+E6)-((D6+E6)*C6),-2)</f>
        <v>461800</v>
      </c>
    </row>
    <row r="7" spans="1:6" x14ac:dyDescent="0.2">
      <c r="A7" s="344">
        <v>3</v>
      </c>
      <c r="B7" s="324" t="str">
        <f>ОХ2021!B6</f>
        <v>МАДОУ ЦРР-детский сад № 11</v>
      </c>
      <c r="C7" s="358"/>
      <c r="D7" s="328">
        <f>'Налоги 2021'!D7</f>
        <v>180004</v>
      </c>
      <c r="E7" s="328">
        <f>'Налоги 2021'!E7</f>
        <v>2554108</v>
      </c>
      <c r="F7" s="327">
        <f t="shared" ref="F7:F14" si="0">ROUND((D7+E7)-((D7+E7)*C7),-2)</f>
        <v>2734100</v>
      </c>
    </row>
    <row r="8" spans="1:6" x14ac:dyDescent="0.2">
      <c r="A8" s="344">
        <v>4</v>
      </c>
      <c r="B8" s="324" t="str">
        <f>ОХ2021!B7</f>
        <v>МАДОУ ЦРР-детский сад № 13</v>
      </c>
      <c r="C8" s="358">
        <f>'Налоги 2021'!C8</f>
        <v>1E-3</v>
      </c>
      <c r="D8" s="328">
        <f>'Налоги 2021'!D8</f>
        <v>195347</v>
      </c>
      <c r="E8" s="328">
        <f>'Налоги 2021'!E8</f>
        <v>153955</v>
      </c>
      <c r="F8" s="327">
        <f t="shared" si="0"/>
        <v>349000</v>
      </c>
    </row>
    <row r="9" spans="1:6" x14ac:dyDescent="0.2">
      <c r="A9" s="344">
        <v>5</v>
      </c>
      <c r="B9" s="324" t="str">
        <f>ОХ2021!B8</f>
        <v>МАОУ СОШ № 1 структурное подразделение</v>
      </c>
      <c r="C9" s="358"/>
      <c r="D9" s="328">
        <f>'Налоги 2021'!D9</f>
        <v>137908</v>
      </c>
      <c r="E9" s="328">
        <f>'Налоги 2021'!E9</f>
        <v>186359</v>
      </c>
      <c r="F9" s="327">
        <f t="shared" si="0"/>
        <v>324300</v>
      </c>
    </row>
    <row r="10" spans="1:6" ht="30.6" customHeight="1" x14ac:dyDescent="0.2">
      <c r="A10" s="344">
        <v>6</v>
      </c>
      <c r="B10" s="324" t="str">
        <f>ОХ2021!B9</f>
        <v>МАОУ СОШ № 2 им.М.И.Грибушина структурное подразделение</v>
      </c>
      <c r="C10" s="358"/>
      <c r="D10" s="328">
        <f>'Налоги 2021'!D10</f>
        <v>156283</v>
      </c>
      <c r="E10" s="328">
        <f>'Налоги 2021'!E10</f>
        <v>54594</v>
      </c>
      <c r="F10" s="327">
        <f t="shared" si="0"/>
        <v>210900</v>
      </c>
    </row>
    <row r="11" spans="1:6" x14ac:dyDescent="0.2">
      <c r="A11" s="344">
        <v>7</v>
      </c>
      <c r="B11" s="324" t="str">
        <f>ОХ2021!B10</f>
        <v>МАОУ СОШ № 10 структурное подразделение</v>
      </c>
      <c r="C11" s="358"/>
      <c r="D11" s="328">
        <f>'Налоги 2021'!D11</f>
        <v>83273</v>
      </c>
      <c r="E11" s="328">
        <f>'Налоги 2021'!E11</f>
        <v>57469</v>
      </c>
      <c r="F11" s="327">
        <f t="shared" si="0"/>
        <v>140700</v>
      </c>
    </row>
    <row r="12" spans="1:6" x14ac:dyDescent="0.2">
      <c r="A12" s="344">
        <v>8</v>
      </c>
      <c r="B12" s="324" t="str">
        <f>ОХ2021!B11</f>
        <v>МАОУ СОШ № 13 структурное подразделение</v>
      </c>
      <c r="C12" s="358"/>
      <c r="D12" s="328">
        <f>'Налоги 2021'!D12</f>
        <v>77584</v>
      </c>
      <c r="E12" s="328">
        <f>'Налоги 2021'!E12</f>
        <v>299280</v>
      </c>
      <c r="F12" s="327">
        <f t="shared" si="0"/>
        <v>376900</v>
      </c>
    </row>
    <row r="13" spans="1:6" x14ac:dyDescent="0.2">
      <c r="A13" s="344">
        <v>9</v>
      </c>
      <c r="B13" s="324" t="str">
        <f>ОХ2021!B12</f>
        <v>Гимназия № 16 структурное подразделение</v>
      </c>
      <c r="C13" s="358"/>
      <c r="D13" s="328">
        <f>'Налоги 2021'!D13</f>
        <v>121832</v>
      </c>
      <c r="E13" s="328">
        <f>'Налоги 2021'!E13</f>
        <v>164248</v>
      </c>
      <c r="F13" s="327">
        <f t="shared" si="0"/>
        <v>286100</v>
      </c>
    </row>
    <row r="14" spans="1:6" ht="31.15" customHeight="1" x14ac:dyDescent="0.2">
      <c r="A14" s="344">
        <v>11</v>
      </c>
      <c r="B14" s="324" t="str">
        <f>ОХ2021!B13</f>
        <v>МАОУ ООШ № 17 с кадетскими классами структурное подразделение</v>
      </c>
      <c r="C14" s="358"/>
      <c r="D14" s="328">
        <f>'Налоги 2021'!D14</f>
        <v>38037</v>
      </c>
      <c r="E14" s="328">
        <f>'Налоги 2021'!E14</f>
        <v>0</v>
      </c>
      <c r="F14" s="327">
        <f t="shared" si="0"/>
        <v>38000</v>
      </c>
    </row>
    <row r="15" spans="1:6" x14ac:dyDescent="0.2">
      <c r="A15" s="33"/>
      <c r="B15" s="325" t="s">
        <v>1</v>
      </c>
      <c r="C15" s="325"/>
      <c r="D15" s="66">
        <f>SUM(D6:D14)</f>
        <v>1235435</v>
      </c>
      <c r="E15" s="66">
        <f>SUM(E6:E14)</f>
        <v>3686618</v>
      </c>
      <c r="F15" s="66">
        <f>SUM(F6:F14)</f>
        <v>4921800</v>
      </c>
    </row>
  </sheetData>
  <mergeCells count="4">
    <mergeCell ref="A4:A5"/>
    <mergeCell ref="B4:B5"/>
    <mergeCell ref="D4:F4"/>
    <mergeCell ref="C4:C5"/>
  </mergeCells>
  <pageMargins left="0.7" right="0.7" top="0.75" bottom="0.75" header="0.3" footer="0.3"/>
  <pageSetup paperSize="9" scale="8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2">
    <pageSetUpPr fitToPage="1"/>
  </sheetPr>
  <dimension ref="A1:AA8"/>
  <sheetViews>
    <sheetView zoomScale="110" zoomScaleNormal="110" workbookViewId="0">
      <pane xSplit="1" ySplit="3" topLeftCell="R4" activePane="bottomRight" state="frozen"/>
      <selection activeCell="AE14" sqref="AE14"/>
      <selection pane="topRight" activeCell="AE14" sqref="AE14"/>
      <selection pane="bottomLeft" activeCell="AE14" sqref="AE14"/>
      <selection pane="bottomRight" activeCell="AE14" sqref="AE14"/>
    </sheetView>
  </sheetViews>
  <sheetFormatPr defaultColWidth="9.140625" defaultRowHeight="12.75" x14ac:dyDescent="0.2"/>
  <cols>
    <col min="1" max="1" width="39.28515625" style="170" customWidth="1"/>
    <col min="2" max="2" width="13.140625" style="170" customWidth="1"/>
    <col min="3" max="3" width="10.85546875" style="170" customWidth="1"/>
    <col min="4" max="4" width="14.28515625" style="170" customWidth="1"/>
    <col min="5" max="6" width="13.28515625" style="170" customWidth="1"/>
    <col min="7" max="7" width="9.28515625" style="170" customWidth="1"/>
    <col min="8" max="8" width="12.28515625" style="170" customWidth="1"/>
    <col min="9" max="9" width="12.85546875" style="170" customWidth="1"/>
    <col min="10" max="10" width="9.5703125" style="170" customWidth="1"/>
    <col min="11" max="11" width="16.5703125" style="170" customWidth="1"/>
    <col min="12" max="12" width="13.7109375" style="170" customWidth="1"/>
    <col min="13" max="13" width="13.5703125" style="170" customWidth="1"/>
    <col min="14" max="14" width="9.28515625" style="170" customWidth="1"/>
    <col min="15" max="15" width="11.7109375" style="170" customWidth="1"/>
    <col min="16" max="16" width="13.28515625" style="170" customWidth="1"/>
    <col min="17" max="17" width="16.28515625" style="170" customWidth="1"/>
    <col min="18" max="18" width="13.7109375" style="170" customWidth="1"/>
    <col min="19" max="20" width="12.7109375" style="170" customWidth="1"/>
    <col min="21" max="21" width="13" style="170" customWidth="1"/>
    <col min="22" max="22" width="12.85546875" style="170" customWidth="1"/>
    <col min="23" max="23" width="13.28515625" style="170" customWidth="1"/>
    <col min="24" max="24" width="19" style="170" customWidth="1"/>
    <col min="25" max="25" width="13.140625" style="170" customWidth="1"/>
    <col min="26" max="26" width="10.28515625" style="170" customWidth="1"/>
    <col min="27" max="27" width="16.5703125" style="170" customWidth="1"/>
    <col min="28" max="16384" width="9.140625" style="170"/>
  </cols>
  <sheetData>
    <row r="1" spans="1:27" s="68" customFormat="1" x14ac:dyDescent="0.2">
      <c r="A1" s="411" t="s">
        <v>386</v>
      </c>
    </row>
    <row r="2" spans="1:27" ht="90" customHeight="1" x14ac:dyDescent="0.2">
      <c r="A2" s="1232" t="s">
        <v>180</v>
      </c>
      <c r="B2" s="1234" t="s">
        <v>194</v>
      </c>
      <c r="C2" s="1235"/>
      <c r="D2" s="1235"/>
      <c r="E2" s="1235"/>
      <c r="F2" s="1235"/>
      <c r="G2" s="1236"/>
      <c r="H2" s="1237" t="s">
        <v>195</v>
      </c>
      <c r="I2" s="1238"/>
      <c r="J2" s="1239"/>
      <c r="K2" s="1237" t="s">
        <v>196</v>
      </c>
      <c r="L2" s="1238"/>
      <c r="M2" s="1238"/>
      <c r="N2" s="1239"/>
      <c r="O2" s="1242" t="s">
        <v>197</v>
      </c>
      <c r="P2" s="1242" t="s">
        <v>198</v>
      </c>
      <c r="Q2" s="1242" t="s">
        <v>199</v>
      </c>
      <c r="R2" s="1243" t="s">
        <v>210</v>
      </c>
      <c r="S2" s="1244"/>
      <c r="T2" s="1244"/>
      <c r="U2" s="1244"/>
      <c r="V2" s="1244"/>
      <c r="W2" s="1244"/>
      <c r="X2" s="1244"/>
      <c r="Y2" s="1244"/>
      <c r="Z2" s="1245"/>
      <c r="AA2" s="1240" t="s">
        <v>215</v>
      </c>
    </row>
    <row r="3" spans="1:27" ht="110.25" customHeight="1" x14ac:dyDescent="0.2">
      <c r="A3" s="1233"/>
      <c r="B3" s="304" t="s">
        <v>201</v>
      </c>
      <c r="C3" s="304" t="s">
        <v>202</v>
      </c>
      <c r="D3" s="304" t="s">
        <v>203</v>
      </c>
      <c r="E3" s="304" t="s">
        <v>152</v>
      </c>
      <c r="F3" s="304" t="s">
        <v>392</v>
      </c>
      <c r="G3" s="304" t="s">
        <v>208</v>
      </c>
      <c r="H3" s="305" t="s">
        <v>205</v>
      </c>
      <c r="I3" s="305" t="s">
        <v>207</v>
      </c>
      <c r="J3" s="305" t="s">
        <v>208</v>
      </c>
      <c r="K3" s="305" t="s">
        <v>204</v>
      </c>
      <c r="L3" s="305" t="s">
        <v>174</v>
      </c>
      <c r="M3" s="305" t="s">
        <v>209</v>
      </c>
      <c r="N3" s="305" t="s">
        <v>208</v>
      </c>
      <c r="O3" s="1233"/>
      <c r="P3" s="1233"/>
      <c r="Q3" s="1233"/>
      <c r="R3" s="475" t="s">
        <v>357</v>
      </c>
      <c r="S3" s="475" t="s">
        <v>358</v>
      </c>
      <c r="T3" s="475" t="s">
        <v>644</v>
      </c>
      <c r="U3" s="305" t="s">
        <v>206</v>
      </c>
      <c r="V3" s="305" t="s">
        <v>394</v>
      </c>
      <c r="W3" s="305" t="s">
        <v>212</v>
      </c>
      <c r="X3" s="305" t="s">
        <v>211</v>
      </c>
      <c r="Y3" s="305" t="s">
        <v>213</v>
      </c>
      <c r="Z3" s="305" t="s">
        <v>208</v>
      </c>
      <c r="AA3" s="1241"/>
    </row>
    <row r="4" spans="1:27" ht="43.5" customHeight="1" x14ac:dyDescent="0.2">
      <c r="A4" s="158" t="str">
        <f>'БН реализация 2021'!A4</f>
        <v>Реализация основных общеобразовательных программ дошкольного образования От 1 года до 3 лет Очная группа полного дня</v>
      </c>
      <c r="B4" s="289">
        <f>Электроэнергия!Q16</f>
        <v>2621.16</v>
      </c>
      <c r="C4" s="289">
        <f>Тепло!Q16</f>
        <v>5392.3</v>
      </c>
      <c r="D4" s="289">
        <f>Водопотребление!Q16</f>
        <v>422.1</v>
      </c>
      <c r="E4" s="289">
        <f>Водоотведение!Q16</f>
        <v>378.53</v>
      </c>
      <c r="F4" s="289">
        <f>ТКО!O16</f>
        <v>118.83</v>
      </c>
      <c r="G4" s="306">
        <f>SUM(B4:F4)</f>
        <v>8932.92</v>
      </c>
      <c r="H4" s="289">
        <f>'Дератизация, дезинсекция'!S19</f>
        <v>70.09</v>
      </c>
      <c r="I4" s="289">
        <f>Аутсорсинг!P22</f>
        <v>420.57</v>
      </c>
      <c r="J4" s="306">
        <f>SUM(H4:I4)</f>
        <v>490.65999999999997</v>
      </c>
      <c r="K4" s="289">
        <f>'Обслуживание АПС'!G21</f>
        <v>112.19</v>
      </c>
      <c r="L4" s="289">
        <f>'Стрелец- мониторинг'!H28</f>
        <v>41.15</v>
      </c>
      <c r="M4" s="289">
        <f>'Заправка огнетушителей'!K15</f>
        <v>5.54</v>
      </c>
      <c r="N4" s="306">
        <f>SUM(K4:M4)</f>
        <v>158.88</v>
      </c>
      <c r="O4" s="306">
        <f>'Услуги связи'!Q16</f>
        <v>393.6</v>
      </c>
      <c r="P4" s="316"/>
      <c r="Q4" s="316"/>
      <c r="R4" s="117">
        <f>'Обслуживание КТС'!G29</f>
        <v>10.46</v>
      </c>
      <c r="S4" s="117">
        <f>'Абон. плата охраны по КТС'!G31</f>
        <v>12.88</v>
      </c>
      <c r="T4" s="117">
        <f>Охрана!G29</f>
        <v>50.98</v>
      </c>
      <c r="U4" s="289">
        <f>'Лабораторные исследования'!F14</f>
        <v>78.59</v>
      </c>
      <c r="V4" s="289">
        <f>'Программный продукт'!G14</f>
        <v>20.62</v>
      </c>
      <c r="W4" s="289">
        <f>Подписка!E18</f>
        <v>60.95</v>
      </c>
      <c r="X4" s="289">
        <f>Канцтовары!E33</f>
        <v>38.229999999999997</v>
      </c>
      <c r="Y4" s="289">
        <f>Хозрасходы!E13</f>
        <v>340.58</v>
      </c>
      <c r="Z4" s="306">
        <f>SUM(R4:Y4)</f>
        <v>613.29</v>
      </c>
      <c r="AA4" s="308">
        <f>G4+J4+N4+O4+P4+Q4+Z4</f>
        <v>10589.349999999999</v>
      </c>
    </row>
    <row r="5" spans="1:27" ht="45" customHeight="1" x14ac:dyDescent="0.2">
      <c r="A5" s="158" t="str">
        <f>'БН реализация 2021'!A5</f>
        <v>Реализация основных общеобразовательных программ дошкольного образования От 3 лет до 8 лет Очная группа полного дня</v>
      </c>
      <c r="B5" s="289">
        <f>B4</f>
        <v>2621.16</v>
      </c>
      <c r="C5" s="289">
        <f t="shared" ref="C5:E8" si="0">C4</f>
        <v>5392.3</v>
      </c>
      <c r="D5" s="289">
        <f t="shared" si="0"/>
        <v>422.1</v>
      </c>
      <c r="E5" s="289">
        <f t="shared" si="0"/>
        <v>378.53</v>
      </c>
      <c r="F5" s="289">
        <f>F4</f>
        <v>118.83</v>
      </c>
      <c r="G5" s="306">
        <f t="shared" ref="G5:G8" si="1">SUM(B5:F5)</f>
        <v>8932.92</v>
      </c>
      <c r="H5" s="289">
        <f t="shared" ref="H5:I8" si="2">H4</f>
        <v>70.09</v>
      </c>
      <c r="I5" s="289">
        <f t="shared" si="2"/>
        <v>420.57</v>
      </c>
      <c r="J5" s="306">
        <f t="shared" ref="J5:J8" si="3">SUM(H5:I5)</f>
        <v>490.65999999999997</v>
      </c>
      <c r="K5" s="289">
        <f t="shared" ref="K5:M8" si="4">K4</f>
        <v>112.19</v>
      </c>
      <c r="L5" s="289">
        <f t="shared" si="4"/>
        <v>41.15</v>
      </c>
      <c r="M5" s="289">
        <f t="shared" si="4"/>
        <v>5.54</v>
      </c>
      <c r="N5" s="306">
        <f>SUM(K5:M5)</f>
        <v>158.88</v>
      </c>
      <c r="O5" s="306">
        <f>O4</f>
        <v>393.6</v>
      </c>
      <c r="P5" s="307"/>
      <c r="Q5" s="307"/>
      <c r="R5" s="117">
        <f>R4</f>
        <v>10.46</v>
      </c>
      <c r="S5" s="117">
        <f t="shared" ref="S5:X8" si="5">S4</f>
        <v>12.88</v>
      </c>
      <c r="T5" s="117">
        <f>T4</f>
        <v>50.98</v>
      </c>
      <c r="U5" s="117">
        <f t="shared" si="5"/>
        <v>78.59</v>
      </c>
      <c r="V5" s="117">
        <f t="shared" si="5"/>
        <v>20.62</v>
      </c>
      <c r="W5" s="117">
        <f t="shared" si="5"/>
        <v>60.95</v>
      </c>
      <c r="X5" s="117">
        <f t="shared" si="5"/>
        <v>38.229999999999997</v>
      </c>
      <c r="Y5" s="289">
        <f>Хозрасходы!K13</f>
        <v>248.89</v>
      </c>
      <c r="Z5" s="306">
        <f>SUM(R5:Y5)</f>
        <v>521.6</v>
      </c>
      <c r="AA5" s="308">
        <f>G5+J5+N5+O5+P5+Q5+Z5</f>
        <v>10497.66</v>
      </c>
    </row>
    <row r="6" spans="1:27" ht="70.900000000000006" customHeight="1" x14ac:dyDescent="0.2">
      <c r="A6" s="158" t="str">
        <f>'БН реализация 2021'!A6</f>
        <v>Реализация основных общеобразовательных программ дошкольного образования Обучающиеся с ограниченными возможностями здоровья (ОВЗ) От 1 года до 3 лет Очная группа полного дня</v>
      </c>
      <c r="B6" s="289">
        <f>B5</f>
        <v>2621.16</v>
      </c>
      <c r="C6" s="289">
        <f t="shared" si="0"/>
        <v>5392.3</v>
      </c>
      <c r="D6" s="289">
        <f t="shared" si="0"/>
        <v>422.1</v>
      </c>
      <c r="E6" s="289">
        <f t="shared" si="0"/>
        <v>378.53</v>
      </c>
      <c r="F6" s="289">
        <f>F5</f>
        <v>118.83</v>
      </c>
      <c r="G6" s="306">
        <f t="shared" si="1"/>
        <v>8932.92</v>
      </c>
      <c r="H6" s="289">
        <f t="shared" si="2"/>
        <v>70.09</v>
      </c>
      <c r="I6" s="289">
        <f t="shared" si="2"/>
        <v>420.57</v>
      </c>
      <c r="J6" s="306">
        <f t="shared" si="3"/>
        <v>490.65999999999997</v>
      </c>
      <c r="K6" s="289">
        <f t="shared" si="4"/>
        <v>112.19</v>
      </c>
      <c r="L6" s="289">
        <f t="shared" si="4"/>
        <v>41.15</v>
      </c>
      <c r="M6" s="289">
        <f t="shared" si="4"/>
        <v>5.54</v>
      </c>
      <c r="N6" s="306">
        <f>SUM(K6:M6)</f>
        <v>158.88</v>
      </c>
      <c r="O6" s="306">
        <f>O5</f>
        <v>393.6</v>
      </c>
      <c r="P6" s="307"/>
      <c r="Q6" s="307"/>
      <c r="R6" s="117">
        <f>R5</f>
        <v>10.46</v>
      </c>
      <c r="S6" s="117">
        <f t="shared" si="5"/>
        <v>12.88</v>
      </c>
      <c r="T6" s="117">
        <f t="shared" ref="T6" si="6">T5</f>
        <v>50.98</v>
      </c>
      <c r="U6" s="117">
        <f t="shared" si="5"/>
        <v>78.59</v>
      </c>
      <c r="V6" s="117">
        <f t="shared" si="5"/>
        <v>20.62</v>
      </c>
      <c r="W6" s="117">
        <f t="shared" si="5"/>
        <v>60.95</v>
      </c>
      <c r="X6" s="117">
        <f t="shared" si="5"/>
        <v>38.229999999999997</v>
      </c>
      <c r="Y6" s="289">
        <f>Y4</f>
        <v>340.58</v>
      </c>
      <c r="Z6" s="306">
        <f>SUM(R6:Y6)</f>
        <v>613.29</v>
      </c>
      <c r="AA6" s="308">
        <f>G6+J6+N6+O6+P6+Q6+Z6</f>
        <v>10589.349999999999</v>
      </c>
    </row>
    <row r="7" spans="1:27" ht="69.75" customHeight="1" x14ac:dyDescent="0.2">
      <c r="A7" s="158" t="str">
        <f>'БН реализация 2021'!A7</f>
        <v>Реализация основных общеобразовательных программ дошкольного образования Обучающиеся с ограниченными возможностями здоровья (ОВЗ) От 3 лет до 8 лет Очная группа полного дня</v>
      </c>
      <c r="B7" s="289">
        <f>B5</f>
        <v>2621.16</v>
      </c>
      <c r="C7" s="289">
        <f>C5</f>
        <v>5392.3</v>
      </c>
      <c r="D7" s="289">
        <f>D5</f>
        <v>422.1</v>
      </c>
      <c r="E7" s="289">
        <f>E5</f>
        <v>378.53</v>
      </c>
      <c r="F7" s="289">
        <f>F5</f>
        <v>118.83</v>
      </c>
      <c r="G7" s="306">
        <f t="shared" si="1"/>
        <v>8932.92</v>
      </c>
      <c r="H7" s="289">
        <f>H5</f>
        <v>70.09</v>
      </c>
      <c r="I7" s="289">
        <f>I5</f>
        <v>420.57</v>
      </c>
      <c r="J7" s="306">
        <f t="shared" si="3"/>
        <v>490.65999999999997</v>
      </c>
      <c r="K7" s="289">
        <f>K5</f>
        <v>112.19</v>
      </c>
      <c r="L7" s="289">
        <f>L5</f>
        <v>41.15</v>
      </c>
      <c r="M7" s="289">
        <f>M5</f>
        <v>5.54</v>
      </c>
      <c r="N7" s="306">
        <f>SUM(K7:M7)</f>
        <v>158.88</v>
      </c>
      <c r="O7" s="306">
        <f>O5</f>
        <v>393.6</v>
      </c>
      <c r="P7" s="306"/>
      <c r="Q7" s="306"/>
      <c r="R7" s="117">
        <f t="shared" ref="R7:X7" si="7">R5</f>
        <v>10.46</v>
      </c>
      <c r="S7" s="117">
        <f t="shared" si="7"/>
        <v>12.88</v>
      </c>
      <c r="T7" s="117">
        <f t="shared" ref="T7" si="8">T5</f>
        <v>50.98</v>
      </c>
      <c r="U7" s="117">
        <f t="shared" si="7"/>
        <v>78.59</v>
      </c>
      <c r="V7" s="117">
        <f t="shared" si="7"/>
        <v>20.62</v>
      </c>
      <c r="W7" s="117">
        <f t="shared" si="7"/>
        <v>60.95</v>
      </c>
      <c r="X7" s="117">
        <f t="shared" si="7"/>
        <v>38.229999999999997</v>
      </c>
      <c r="Y7" s="117">
        <f>Y5</f>
        <v>248.89</v>
      </c>
      <c r="Z7" s="306">
        <f>SUM(R7:Y7)</f>
        <v>521.6</v>
      </c>
      <c r="AA7" s="308">
        <f>G7+J7+N7+O7+P7+Q7+Z7</f>
        <v>10497.66</v>
      </c>
    </row>
    <row r="8" spans="1:27" ht="81.75" customHeight="1" x14ac:dyDescent="0.2">
      <c r="A8" s="158" t="str">
        <f>'БН реализация 2021'!A8</f>
        <v>Реализация основных общеобразовательных программ дошкольного образования Адаптированная образовательная программа От 3 лет до 8 лет Очная группа полного дня</v>
      </c>
      <c r="B8" s="289">
        <f>B7</f>
        <v>2621.16</v>
      </c>
      <c r="C8" s="289">
        <f t="shared" si="0"/>
        <v>5392.3</v>
      </c>
      <c r="D8" s="289">
        <f t="shared" si="0"/>
        <v>422.1</v>
      </c>
      <c r="E8" s="289">
        <f t="shared" si="0"/>
        <v>378.53</v>
      </c>
      <c r="F8" s="289">
        <f>F7</f>
        <v>118.83</v>
      </c>
      <c r="G8" s="306">
        <f t="shared" si="1"/>
        <v>8932.92</v>
      </c>
      <c r="H8" s="289">
        <f t="shared" si="2"/>
        <v>70.09</v>
      </c>
      <c r="I8" s="289">
        <f t="shared" si="2"/>
        <v>420.57</v>
      </c>
      <c r="J8" s="306">
        <f t="shared" si="3"/>
        <v>490.65999999999997</v>
      </c>
      <c r="K8" s="289">
        <f t="shared" si="4"/>
        <v>112.19</v>
      </c>
      <c r="L8" s="289">
        <f t="shared" si="4"/>
        <v>41.15</v>
      </c>
      <c r="M8" s="289">
        <f t="shared" si="4"/>
        <v>5.54</v>
      </c>
      <c r="N8" s="306">
        <f>SUM(K8:M8)</f>
        <v>158.88</v>
      </c>
      <c r="O8" s="306">
        <f>O7</f>
        <v>393.6</v>
      </c>
      <c r="P8" s="307"/>
      <c r="Q8" s="307"/>
      <c r="R8" s="117">
        <f>R7</f>
        <v>10.46</v>
      </c>
      <c r="S8" s="117">
        <f t="shared" si="5"/>
        <v>12.88</v>
      </c>
      <c r="T8" s="117">
        <f t="shared" ref="T8" si="9">T7</f>
        <v>50.98</v>
      </c>
      <c r="U8" s="117">
        <f t="shared" si="5"/>
        <v>78.59</v>
      </c>
      <c r="V8" s="117">
        <f t="shared" si="5"/>
        <v>20.62</v>
      </c>
      <c r="W8" s="117">
        <f t="shared" si="5"/>
        <v>60.95</v>
      </c>
      <c r="X8" s="117">
        <f t="shared" si="5"/>
        <v>38.229999999999997</v>
      </c>
      <c r="Y8" s="289">
        <f>'БН реализация 2021'!Y8</f>
        <v>248.89</v>
      </c>
      <c r="Z8" s="306">
        <f>SUM(R8:Y8)</f>
        <v>521.6</v>
      </c>
      <c r="AA8" s="308">
        <f>G8+J8+N8+O8+P8+Q8+Z8</f>
        <v>10497.66</v>
      </c>
    </row>
  </sheetData>
  <mergeCells count="9">
    <mergeCell ref="Q2:Q3"/>
    <mergeCell ref="AA2:AA3"/>
    <mergeCell ref="A2:A3"/>
    <mergeCell ref="B2:G2"/>
    <mergeCell ref="H2:J2"/>
    <mergeCell ref="K2:N2"/>
    <mergeCell ref="O2:O3"/>
    <mergeCell ref="P2:P3"/>
    <mergeCell ref="R2:Z2"/>
  </mergeCells>
  <pageMargins left="0.70866141732283472" right="0.70866141732283472" top="0.74803149606299213" bottom="0.74803149606299213" header="0.31496062992125984" footer="0.31496062992125984"/>
  <pageSetup paperSize="9" scale="34" orientation="landscape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3"/>
  <dimension ref="A1:D12"/>
  <sheetViews>
    <sheetView topLeftCell="A7" zoomScale="110" zoomScaleNormal="110" workbookViewId="0">
      <selection activeCell="AE14" sqref="AE14"/>
    </sheetView>
  </sheetViews>
  <sheetFormatPr defaultColWidth="13.5703125" defaultRowHeight="12.75" x14ac:dyDescent="0.2"/>
  <cols>
    <col min="1" max="1" width="36.42578125" style="170" customWidth="1"/>
    <col min="2" max="2" width="14.140625" style="170" customWidth="1"/>
    <col min="3" max="3" width="17.7109375" style="170" customWidth="1"/>
    <col min="4" max="16384" width="13.5703125" style="170"/>
  </cols>
  <sheetData>
    <row r="1" spans="1:4" s="303" customFormat="1" x14ac:dyDescent="0.2">
      <c r="A1" s="411" t="s">
        <v>386</v>
      </c>
      <c r="B1" s="68"/>
      <c r="C1" s="68"/>
    </row>
    <row r="2" spans="1:4" ht="90" customHeight="1" x14ac:dyDescent="0.2">
      <c r="A2" s="1232" t="s">
        <v>180</v>
      </c>
      <c r="B2" s="1242" t="s">
        <v>242</v>
      </c>
      <c r="C2" s="1242" t="s">
        <v>200</v>
      </c>
      <c r="D2" s="1240" t="s">
        <v>215</v>
      </c>
    </row>
    <row r="3" spans="1:4" ht="88.5" customHeight="1" x14ac:dyDescent="0.2">
      <c r="A3" s="1233"/>
      <c r="B3" s="1233"/>
      <c r="C3" s="1233"/>
      <c r="D3" s="1241"/>
    </row>
    <row r="4" spans="1:4" ht="57" customHeight="1" x14ac:dyDescent="0.2">
      <c r="A4" s="154" t="str">
        <f>'БН присмотр 2021'!A4</f>
        <v>Присмотр и уход Дети-сироты и дети, оставшиеся без попечения родителей От 1 года до 3 лет группа полного дня</v>
      </c>
      <c r="B4" s="155">
        <f>'БН присмотр 2021'!B4</f>
        <v>30162.2</v>
      </c>
      <c r="C4" s="155">
        <f>'БН присмотр 2021'!C4</f>
        <v>695.3599999999999</v>
      </c>
      <c r="D4" s="308">
        <f t="shared" ref="D4:D12" si="0">SUM(B4:C4)</f>
        <v>30857.56</v>
      </c>
    </row>
    <row r="5" spans="1:4" ht="57.75" customHeight="1" x14ac:dyDescent="0.2">
      <c r="A5" s="154" t="str">
        <f>'БН присмотр 2021'!A5</f>
        <v>Присмотр и уход Физические лица за исключением льготных категорий От 1 года до 3 лет группа полного дня</v>
      </c>
      <c r="B5" s="155">
        <f>'БН присмотр 2021'!B5</f>
        <v>30162.2</v>
      </c>
      <c r="C5" s="155">
        <f>'БН присмотр 2021'!C5</f>
        <v>695.3599999999999</v>
      </c>
      <c r="D5" s="308">
        <f t="shared" si="0"/>
        <v>30857.56</v>
      </c>
    </row>
    <row r="6" spans="1:4" ht="57.75" customHeight="1" x14ac:dyDescent="0.2">
      <c r="A6" s="478" t="str">
        <f>'БН присмотр 2021'!A6</f>
        <v>Присмотр и уход Физические лица льготных категорий, определяемых учредителем От 3 лет до 8 лет группа полного дня</v>
      </c>
      <c r="B6" s="155">
        <f>'БН присмотр 2021'!B6</f>
        <v>30162.2</v>
      </c>
      <c r="C6" s="155">
        <f>'БН присмотр 2021'!C6</f>
        <v>695.3599999999999</v>
      </c>
      <c r="D6" s="308">
        <f t="shared" si="0"/>
        <v>30857.56</v>
      </c>
    </row>
    <row r="7" spans="1:4" ht="57.75" customHeight="1" x14ac:dyDescent="0.2">
      <c r="A7" s="478" t="str">
        <f>'БН присмотр 2021'!A7</f>
        <v>Присмотр и уход Дети-инвалиды От 1 лет до 3 лет группа полного дня</v>
      </c>
      <c r="B7" s="155">
        <f>'БН присмотр 2021'!B7</f>
        <v>30162.2</v>
      </c>
      <c r="C7" s="155">
        <f>'БН присмотр 2021'!C7</f>
        <v>695.3599999999999</v>
      </c>
      <c r="D7" s="308">
        <f t="shared" ref="D7" si="1">SUM(B7:C7)</f>
        <v>30857.56</v>
      </c>
    </row>
    <row r="8" spans="1:4" ht="57" customHeight="1" x14ac:dyDescent="0.2">
      <c r="A8" s="154" t="e">
        <f>'БН присмотр 2021'!A8</f>
        <v>#REF!</v>
      </c>
      <c r="B8" s="155">
        <f>'БН присмотр 2021'!B8</f>
        <v>35596.199999999997</v>
      </c>
      <c r="C8" s="155">
        <f>'БН присмотр 2021'!C8</f>
        <v>534.89</v>
      </c>
      <c r="D8" s="308">
        <f t="shared" si="0"/>
        <v>36131.089999999997</v>
      </c>
    </row>
    <row r="9" spans="1:4" ht="54.75" customHeight="1" x14ac:dyDescent="0.2">
      <c r="A9" s="154" t="str">
        <f>'БН присмотр 2021'!A9</f>
        <v>Присмотр и уход Дети с туберкулезной интоксикацией От 3 лет до 8 лет группа полного дня</v>
      </c>
      <c r="B9" s="155">
        <f>'БН присмотр 2021'!B9</f>
        <v>35596.199999999997</v>
      </c>
      <c r="C9" s="155">
        <f>'БН присмотр 2021'!C9</f>
        <v>534.89</v>
      </c>
      <c r="D9" s="308">
        <f t="shared" si="0"/>
        <v>36131.089999999997</v>
      </c>
    </row>
    <row r="10" spans="1:4" ht="54" customHeight="1" x14ac:dyDescent="0.2">
      <c r="A10" s="154" t="str">
        <f>'БН присмотр 2021'!A10</f>
        <v>Присмотр и уход Дети-сироты и дети, оставшиеся без попечения родителей От 3 лет до 8 лет группа полного дня</v>
      </c>
      <c r="B10" s="155">
        <f>'БН присмотр 2021'!B10</f>
        <v>35596.199999999997</v>
      </c>
      <c r="C10" s="155">
        <f>'БН присмотр 2021'!C10</f>
        <v>534.89</v>
      </c>
      <c r="D10" s="308">
        <f t="shared" si="0"/>
        <v>36131.089999999997</v>
      </c>
    </row>
    <row r="11" spans="1:4" ht="42.75" customHeight="1" x14ac:dyDescent="0.2">
      <c r="A11" s="154" t="str">
        <f>'БН присмотр 2021'!A11</f>
        <v>Присмотр и уход Дети-инвалиды От 3 лет до 8 лет группа полного дня</v>
      </c>
      <c r="B11" s="155">
        <f>'БН присмотр 2021'!B11</f>
        <v>35596.199999999997</v>
      </c>
      <c r="C11" s="155">
        <f>'БН присмотр 2021'!C11</f>
        <v>534.89</v>
      </c>
      <c r="D11" s="308">
        <f t="shared" si="0"/>
        <v>36131.089999999997</v>
      </c>
    </row>
    <row r="12" spans="1:4" ht="46.15" customHeight="1" x14ac:dyDescent="0.2">
      <c r="A12" s="154" t="str">
        <f>'БН присмотр 2021'!A12</f>
        <v>Присмотр и уход Физические лица за исключением льготных категорий От 3 лет до 8 лет группа полного дня</v>
      </c>
      <c r="B12" s="155">
        <f>'БН присмотр 2021'!B12</f>
        <v>35596.199999999997</v>
      </c>
      <c r="C12" s="155">
        <f>'БН присмотр 2021'!C12</f>
        <v>534.89</v>
      </c>
      <c r="D12" s="308">
        <f t="shared" si="0"/>
        <v>36131.089999999997</v>
      </c>
    </row>
  </sheetData>
  <mergeCells count="4"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4"/>
  <dimension ref="A1:M99"/>
  <sheetViews>
    <sheetView topLeftCell="A10" zoomScale="110" zoomScaleNormal="110" workbookViewId="0">
      <selection activeCell="AE14" sqref="AE14"/>
    </sheetView>
  </sheetViews>
  <sheetFormatPr defaultColWidth="9.140625" defaultRowHeight="12.75" x14ac:dyDescent="0.2"/>
  <cols>
    <col min="1" max="1" width="40.28515625" style="309" customWidth="1"/>
    <col min="2" max="2" width="12.5703125" style="309" customWidth="1"/>
    <col min="3" max="3" width="9.28515625" style="309" bestFit="1" customWidth="1"/>
    <col min="4" max="4" width="10.28515625" style="309" bestFit="1" customWidth="1"/>
    <col min="5" max="12" width="9.28515625" style="309" bestFit="1" customWidth="1"/>
    <col min="13" max="13" width="27.7109375" style="309" customWidth="1"/>
    <col min="14" max="16384" width="9.140625" style="309"/>
  </cols>
  <sheetData>
    <row r="1" spans="1:13" x14ac:dyDescent="0.2">
      <c r="A1" s="1246" t="s">
        <v>395</v>
      </c>
      <c r="B1" s="1247"/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247"/>
    </row>
    <row r="2" spans="1:13" x14ac:dyDescent="0.2">
      <c r="A2" s="1248" t="s">
        <v>216</v>
      </c>
      <c r="B2" s="1248"/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</row>
    <row r="3" spans="1:13" ht="70.5" customHeight="1" x14ac:dyDescent="0.2">
      <c r="A3" s="1221" t="s">
        <v>180</v>
      </c>
      <c r="B3" s="1221" t="s">
        <v>217</v>
      </c>
      <c r="C3" s="1221" t="s">
        <v>218</v>
      </c>
      <c r="D3" s="1221"/>
      <c r="E3" s="1221"/>
      <c r="F3" s="1249" t="s">
        <v>200</v>
      </c>
      <c r="G3" s="1250"/>
      <c r="H3" s="1250"/>
      <c r="I3" s="1250"/>
      <c r="J3" s="1250"/>
      <c r="K3" s="1250"/>
      <c r="L3" s="1251"/>
      <c r="M3" s="1221" t="s">
        <v>219</v>
      </c>
    </row>
    <row r="4" spans="1:13" ht="15" customHeight="1" x14ac:dyDescent="0.2">
      <c r="A4" s="1221"/>
      <c r="B4" s="1221"/>
      <c r="C4" s="1221"/>
      <c r="D4" s="1221"/>
      <c r="E4" s="1221"/>
      <c r="F4" s="1252"/>
      <c r="G4" s="1253"/>
      <c r="H4" s="1253"/>
      <c r="I4" s="1253"/>
      <c r="J4" s="1253"/>
      <c r="K4" s="1253"/>
      <c r="L4" s="1254"/>
      <c r="M4" s="1221"/>
    </row>
    <row r="5" spans="1:13" x14ac:dyDescent="0.2">
      <c r="A5" s="1221"/>
      <c r="B5" s="1221"/>
      <c r="C5" s="292" t="s">
        <v>220</v>
      </c>
      <c r="D5" s="292" t="s">
        <v>221</v>
      </c>
      <c r="E5" s="292" t="s">
        <v>222</v>
      </c>
      <c r="F5" s="292" t="s">
        <v>223</v>
      </c>
      <c r="G5" s="292" t="s">
        <v>224</v>
      </c>
      <c r="H5" s="292" t="s">
        <v>225</v>
      </c>
      <c r="I5" s="292" t="s">
        <v>226</v>
      </c>
      <c r="J5" s="292" t="s">
        <v>227</v>
      </c>
      <c r="K5" s="292" t="s">
        <v>228</v>
      </c>
      <c r="L5" s="292" t="s">
        <v>229</v>
      </c>
      <c r="M5" s="1221"/>
    </row>
    <row r="6" spans="1:13" ht="15.75" customHeight="1" x14ac:dyDescent="0.2">
      <c r="A6" s="292">
        <v>1</v>
      </c>
      <c r="B6" s="292">
        <v>2</v>
      </c>
      <c r="C6" s="292">
        <v>3</v>
      </c>
      <c r="D6" s="292">
        <v>4</v>
      </c>
      <c r="E6" s="292">
        <v>5</v>
      </c>
      <c r="F6" s="292">
        <v>6</v>
      </c>
      <c r="G6" s="292">
        <v>7</v>
      </c>
      <c r="H6" s="292">
        <v>8</v>
      </c>
      <c r="I6" s="292">
        <v>9</v>
      </c>
      <c r="J6" s="292">
        <v>10</v>
      </c>
      <c r="K6" s="292">
        <v>11</v>
      </c>
      <c r="L6" s="292">
        <v>12</v>
      </c>
      <c r="M6" s="292" t="s">
        <v>230</v>
      </c>
    </row>
    <row r="7" spans="1:13" ht="42.75" customHeight="1" x14ac:dyDescent="0.2">
      <c r="A7" s="158" t="str">
        <f>'Общий 2021'!A7</f>
        <v>Реализация основных общеобразовательных программ дошкольного образования От 1 года до 3 лет Очная группа полного дня</v>
      </c>
      <c r="B7" s="469" t="s">
        <v>343</v>
      </c>
      <c r="C7" s="292"/>
      <c r="D7" s="292"/>
      <c r="E7" s="292"/>
      <c r="F7" s="155">
        <f>'БН реализация 2022'!G4</f>
        <v>8932.92</v>
      </c>
      <c r="G7" s="155">
        <f>'БН реализация 2022'!J4</f>
        <v>490.65999999999997</v>
      </c>
      <c r="H7" s="155">
        <f>'БН реализация 2022'!N4</f>
        <v>158.88</v>
      </c>
      <c r="I7" s="155">
        <f>'БН реализация 2022'!O4</f>
        <v>393.6</v>
      </c>
      <c r="J7" s="155"/>
      <c r="K7" s="155"/>
      <c r="L7" s="155">
        <f>'БН реализация 2022'!Z4</f>
        <v>613.29</v>
      </c>
      <c r="M7" s="155">
        <f t="shared" ref="M7:M20" si="0">SUM(C7:L7)</f>
        <v>10589.349999999999</v>
      </c>
    </row>
    <row r="8" spans="1:13" ht="42.75" customHeight="1" x14ac:dyDescent="0.2">
      <c r="A8" s="158" t="str">
        <f>'Общий 2021'!A8</f>
        <v>Реализация основных общеобразовательных программ дошкольного образования От 3 лет до 8 лет Очная группа полного дня</v>
      </c>
      <c r="B8" s="469" t="s">
        <v>344</v>
      </c>
      <c r="C8" s="292"/>
      <c r="D8" s="292"/>
      <c r="E8" s="292"/>
      <c r="F8" s="155">
        <f>'БН реализация 2022'!G5</f>
        <v>8932.92</v>
      </c>
      <c r="G8" s="155">
        <f>'БН реализация 2022'!J5</f>
        <v>490.65999999999997</v>
      </c>
      <c r="H8" s="155">
        <f>'БН реализация 2022'!N5</f>
        <v>158.88</v>
      </c>
      <c r="I8" s="155">
        <f>'БН реализация 2022'!O5</f>
        <v>393.6</v>
      </c>
      <c r="J8" s="155"/>
      <c r="K8" s="155"/>
      <c r="L8" s="155">
        <f>'БН реализация 2022'!Z5</f>
        <v>521.6</v>
      </c>
      <c r="M8" s="155">
        <f t="shared" si="0"/>
        <v>10497.66</v>
      </c>
    </row>
    <row r="9" spans="1:13" ht="71.45" customHeight="1" x14ac:dyDescent="0.2">
      <c r="A9" s="158" t="str">
        <f>'Общий 2021'!A9</f>
        <v>Реализация основных общеобразовательных программ дошкольного образования Обучающиеся с ограниченными возможностями здоровья (ОВЗ) От 1 года до 3 лет Очная группа полного дня</v>
      </c>
      <c r="B9" s="469" t="s">
        <v>377</v>
      </c>
      <c r="C9" s="549"/>
      <c r="D9" s="549"/>
      <c r="E9" s="549"/>
      <c r="F9" s="155">
        <f>'БН реализация 2022'!G6</f>
        <v>8932.92</v>
      </c>
      <c r="G9" s="155">
        <f>'БН реализация 2022'!J6</f>
        <v>490.65999999999997</v>
      </c>
      <c r="H9" s="155">
        <f>'БН реализация 2022'!N6</f>
        <v>158.88</v>
      </c>
      <c r="I9" s="155">
        <f>'БН реализация 2022'!O6</f>
        <v>393.6</v>
      </c>
      <c r="J9" s="155"/>
      <c r="K9" s="155"/>
      <c r="L9" s="155">
        <f>'БН реализация 2022'!Z6</f>
        <v>613.29</v>
      </c>
      <c r="M9" s="155">
        <f t="shared" si="0"/>
        <v>10589.349999999999</v>
      </c>
    </row>
    <row r="10" spans="1:13" ht="69" customHeight="1" x14ac:dyDescent="0.2">
      <c r="A10" s="158" t="str">
        <f>'Общий 2021'!A10</f>
        <v>Реализация основных общеобразовательных программ дошкольного образования Обучающиеся с ограниченными возможностями здоровья (ОВЗ) От 3 лет до 8 лет Очная группа полного дня</v>
      </c>
      <c r="B10" s="469" t="s">
        <v>345</v>
      </c>
      <c r="C10" s="292"/>
      <c r="D10" s="292"/>
      <c r="E10" s="292"/>
      <c r="F10" s="155">
        <f>'БН реализация 2022'!G7</f>
        <v>8932.92</v>
      </c>
      <c r="G10" s="155">
        <f>'БН реализация 2022'!J7</f>
        <v>490.65999999999997</v>
      </c>
      <c r="H10" s="155">
        <f>'БН реализация 2022'!N7</f>
        <v>158.88</v>
      </c>
      <c r="I10" s="155">
        <f>'БН реализация 2022'!O7</f>
        <v>393.6</v>
      </c>
      <c r="J10" s="155"/>
      <c r="K10" s="155"/>
      <c r="L10" s="155">
        <f>'БН реализация 2022'!Z7</f>
        <v>521.6</v>
      </c>
      <c r="M10" s="155">
        <f t="shared" si="0"/>
        <v>10497.66</v>
      </c>
    </row>
    <row r="11" spans="1:13" ht="84" customHeight="1" x14ac:dyDescent="0.2">
      <c r="A11" s="158" t="str">
        <f>'Общий 2021'!A11</f>
        <v>Реализация основных общеобразовательных программ дошкольного образования Адаптированная образовательная программа От 3 лет до 8 лет Очная группа полного дня</v>
      </c>
      <c r="B11" s="469" t="s">
        <v>346</v>
      </c>
      <c r="C11" s="330"/>
      <c r="D11" s="330"/>
      <c r="E11" s="330"/>
      <c r="F11" s="155">
        <f>'БН реализация 2022'!G8</f>
        <v>8932.92</v>
      </c>
      <c r="G11" s="155">
        <f>'БН реализация 2022'!J8</f>
        <v>490.65999999999997</v>
      </c>
      <c r="H11" s="155">
        <f>'БН реализация 2022'!N8</f>
        <v>158.88</v>
      </c>
      <c r="I11" s="155">
        <f>'БН реализация 2022'!O8</f>
        <v>393.6</v>
      </c>
      <c r="J11" s="155"/>
      <c r="K11" s="155"/>
      <c r="L11" s="155">
        <f>'БН реализация 2022'!Z8</f>
        <v>521.6</v>
      </c>
      <c r="M11" s="155">
        <f t="shared" si="0"/>
        <v>10497.66</v>
      </c>
    </row>
    <row r="12" spans="1:13" ht="39.6" customHeight="1" x14ac:dyDescent="0.2">
      <c r="A12" s="156" t="str">
        <f>'БН присмотр 2021'!A4</f>
        <v>Присмотр и уход Дети-сироты и дети, оставшиеся без попечения родителей От 1 года до 3 лет группа полного дня</v>
      </c>
      <c r="B12" s="469" t="s">
        <v>349</v>
      </c>
      <c r="C12" s="310"/>
      <c r="D12" s="155">
        <f>'БН присмотр 2022'!B4</f>
        <v>30162.2</v>
      </c>
      <c r="E12" s="290"/>
      <c r="F12" s="310"/>
      <c r="G12" s="310"/>
      <c r="H12" s="310"/>
      <c r="I12" s="310"/>
      <c r="J12" s="310"/>
      <c r="K12" s="310"/>
      <c r="L12" s="165">
        <f>'БН присмотр 2022'!C4</f>
        <v>695.3599999999999</v>
      </c>
      <c r="M12" s="155">
        <f t="shared" si="0"/>
        <v>30857.56</v>
      </c>
    </row>
    <row r="13" spans="1:13" ht="42.75" customHeight="1" x14ac:dyDescent="0.2">
      <c r="A13" s="156" t="str">
        <f>'БН присмотр 2021'!A5</f>
        <v>Присмотр и уход Физические лица за исключением льготных категорий От 1 года до 3 лет группа полного дня</v>
      </c>
      <c r="B13" s="469" t="s">
        <v>347</v>
      </c>
      <c r="C13" s="310"/>
      <c r="D13" s="155">
        <f>'БН присмотр 2022'!B5</f>
        <v>30162.2</v>
      </c>
      <c r="E13" s="290"/>
      <c r="F13" s="310"/>
      <c r="G13" s="310"/>
      <c r="H13" s="310"/>
      <c r="I13" s="310"/>
      <c r="J13" s="310"/>
      <c r="K13" s="310"/>
      <c r="L13" s="165">
        <f>'БН присмотр 2022'!C5</f>
        <v>695.3599999999999</v>
      </c>
      <c r="M13" s="155">
        <f t="shared" si="0"/>
        <v>30857.56</v>
      </c>
    </row>
    <row r="14" spans="1:13" ht="42.75" customHeight="1" x14ac:dyDescent="0.2">
      <c r="A14" s="156" t="str">
        <f>'БН присмотр 2021'!A6</f>
        <v>Присмотр и уход Физические лица льготных категорий, определяемых учредителем От 3 лет до 8 лет группа полного дня</v>
      </c>
      <c r="B14" s="469" t="s">
        <v>377</v>
      </c>
      <c r="C14" s="310"/>
      <c r="D14" s="155">
        <f>'БН присмотр 2022'!B6</f>
        <v>30162.2</v>
      </c>
      <c r="E14" s="317"/>
      <c r="F14" s="310"/>
      <c r="G14" s="310"/>
      <c r="H14" s="310"/>
      <c r="I14" s="310"/>
      <c r="J14" s="310"/>
      <c r="K14" s="310"/>
      <c r="L14" s="165">
        <f>'БН присмотр 2022'!C6</f>
        <v>695.3599999999999</v>
      </c>
      <c r="M14" s="155">
        <f t="shared" si="0"/>
        <v>30857.56</v>
      </c>
    </row>
    <row r="15" spans="1:13" ht="42.75" customHeight="1" x14ac:dyDescent="0.2">
      <c r="A15" s="156" t="str">
        <f>'БН присмотр 2021'!A7</f>
        <v>Присмотр и уход Дети-инвалиды От 1 лет до 3 лет группа полного дня</v>
      </c>
      <c r="B15" s="469" t="s">
        <v>666</v>
      </c>
      <c r="C15" s="310"/>
      <c r="D15" s="155">
        <f>'БН присмотр 2022'!B7</f>
        <v>30162.2</v>
      </c>
      <c r="E15" s="317"/>
      <c r="F15" s="310"/>
      <c r="G15" s="310"/>
      <c r="H15" s="310"/>
      <c r="I15" s="310"/>
      <c r="J15" s="310"/>
      <c r="K15" s="310"/>
      <c r="L15" s="165">
        <f>'БН присмотр 2022'!C7</f>
        <v>695.3599999999999</v>
      </c>
      <c r="M15" s="155">
        <f t="shared" si="0"/>
        <v>30857.56</v>
      </c>
    </row>
    <row r="16" spans="1:13" ht="42.75" customHeight="1" x14ac:dyDescent="0.2">
      <c r="A16" s="156" t="e">
        <f>'БН присмотр 2021'!A8</f>
        <v>#REF!</v>
      </c>
      <c r="B16" s="473" t="s">
        <v>356</v>
      </c>
      <c r="C16" s="310"/>
      <c r="D16" s="155">
        <f>'БН присмотр 2022'!B8</f>
        <v>35596.199999999997</v>
      </c>
      <c r="E16" s="290"/>
      <c r="F16" s="310"/>
      <c r="G16" s="310"/>
      <c r="H16" s="310"/>
      <c r="I16" s="310"/>
      <c r="J16" s="310"/>
      <c r="K16" s="310"/>
      <c r="L16" s="165">
        <f>'БН присмотр 2022'!C8</f>
        <v>534.89</v>
      </c>
      <c r="M16" s="155">
        <f t="shared" si="0"/>
        <v>36131.089999999997</v>
      </c>
    </row>
    <row r="17" spans="1:13" ht="40.5" customHeight="1" x14ac:dyDescent="0.2">
      <c r="A17" s="156" t="str">
        <f>'БН присмотр 2021'!A9</f>
        <v>Присмотр и уход Дети с туберкулезной интоксикацией От 3 лет до 8 лет группа полного дня</v>
      </c>
      <c r="B17" s="469" t="s">
        <v>352</v>
      </c>
      <c r="C17" s="310"/>
      <c r="D17" s="155">
        <f>'БН присмотр 2022'!B9</f>
        <v>35596.199999999997</v>
      </c>
      <c r="E17" s="290"/>
      <c r="F17" s="310"/>
      <c r="G17" s="310"/>
      <c r="H17" s="310"/>
      <c r="I17" s="310"/>
      <c r="J17" s="310"/>
      <c r="K17" s="310"/>
      <c r="L17" s="165">
        <f>'БН присмотр 2022'!C9</f>
        <v>534.89</v>
      </c>
      <c r="M17" s="155">
        <f t="shared" si="0"/>
        <v>36131.089999999997</v>
      </c>
    </row>
    <row r="18" spans="1:13" ht="40.5" customHeight="1" x14ac:dyDescent="0.2">
      <c r="A18" s="156" t="str">
        <f>'БН присмотр 2021'!A10</f>
        <v>Присмотр и уход Дети-сироты и дети, оставшиеся без попечения родителей От 3 лет до 8 лет группа полного дня</v>
      </c>
      <c r="B18" s="469" t="s">
        <v>350</v>
      </c>
      <c r="C18" s="310"/>
      <c r="D18" s="155">
        <f>'БН присмотр 2022'!B10</f>
        <v>35596.199999999997</v>
      </c>
      <c r="E18" s="290"/>
      <c r="F18" s="310"/>
      <c r="G18" s="310"/>
      <c r="H18" s="310"/>
      <c r="I18" s="310"/>
      <c r="J18" s="310"/>
      <c r="K18" s="310"/>
      <c r="L18" s="165">
        <f>'БН присмотр 2022'!C10</f>
        <v>534.89</v>
      </c>
      <c r="M18" s="155">
        <f t="shared" si="0"/>
        <v>36131.089999999997</v>
      </c>
    </row>
    <row r="19" spans="1:13" s="311" customFormat="1" ht="30.6" customHeight="1" x14ac:dyDescent="0.2">
      <c r="A19" s="156" t="str">
        <f>'БН присмотр 2021'!A11</f>
        <v>Присмотр и уход Дети-инвалиды От 3 лет до 8 лет группа полного дня</v>
      </c>
      <c r="B19" s="469" t="s">
        <v>351</v>
      </c>
      <c r="C19" s="310"/>
      <c r="D19" s="155">
        <f>'БН присмотр 2022'!B11</f>
        <v>35596.199999999997</v>
      </c>
      <c r="E19" s="310"/>
      <c r="F19" s="310"/>
      <c r="G19" s="310"/>
      <c r="H19" s="310"/>
      <c r="I19" s="310"/>
      <c r="J19" s="310"/>
      <c r="K19" s="310"/>
      <c r="L19" s="165">
        <f>'БН присмотр 2022'!C11</f>
        <v>534.89</v>
      </c>
      <c r="M19" s="155">
        <f t="shared" si="0"/>
        <v>36131.089999999997</v>
      </c>
    </row>
    <row r="20" spans="1:13" s="311" customFormat="1" ht="45" customHeight="1" x14ac:dyDescent="0.2">
      <c r="A20" s="156" t="str">
        <f>'БН присмотр 2021'!A12</f>
        <v>Присмотр и уход Физические лица за исключением льготных категорий От 3 лет до 8 лет группа полного дня</v>
      </c>
      <c r="B20" s="469" t="s">
        <v>348</v>
      </c>
      <c r="C20" s="310"/>
      <c r="D20" s="155">
        <f>'БН присмотр 2022'!B12</f>
        <v>35596.199999999997</v>
      </c>
      <c r="E20" s="310"/>
      <c r="F20" s="310"/>
      <c r="G20" s="310"/>
      <c r="H20" s="310"/>
      <c r="I20" s="310"/>
      <c r="J20" s="310"/>
      <c r="K20" s="310"/>
      <c r="L20" s="165">
        <f>'БН присмотр 2022'!C12</f>
        <v>534.89</v>
      </c>
      <c r="M20" s="155">
        <f t="shared" si="0"/>
        <v>36131.089999999997</v>
      </c>
    </row>
    <row r="21" spans="1:13" s="311" customFormat="1" x14ac:dyDescent="0.2">
      <c r="A21" s="157"/>
    </row>
    <row r="22" spans="1:13" s="311" customFormat="1" x14ac:dyDescent="0.2">
      <c r="A22" s="157"/>
    </row>
    <row r="23" spans="1:13" s="311" customFormat="1" x14ac:dyDescent="0.2">
      <c r="A23" s="157"/>
    </row>
    <row r="24" spans="1:13" s="311" customFormat="1" x14ac:dyDescent="0.2">
      <c r="A24" s="157"/>
    </row>
    <row r="25" spans="1:13" s="311" customFormat="1" x14ac:dyDescent="0.2">
      <c r="A25" s="157"/>
    </row>
    <row r="26" spans="1:13" s="311" customFormat="1" x14ac:dyDescent="0.2">
      <c r="A26" s="157"/>
    </row>
    <row r="27" spans="1:13" s="311" customFormat="1" x14ac:dyDescent="0.2">
      <c r="A27" s="157"/>
    </row>
    <row r="28" spans="1:13" s="311" customFormat="1" x14ac:dyDescent="0.2">
      <c r="A28" s="157"/>
    </row>
    <row r="29" spans="1:13" s="311" customFormat="1" x14ac:dyDescent="0.2">
      <c r="A29" s="157"/>
    </row>
    <row r="30" spans="1:13" s="311" customFormat="1" x14ac:dyDescent="0.2">
      <c r="A30" s="157"/>
    </row>
    <row r="31" spans="1:13" s="311" customFormat="1" x14ac:dyDescent="0.2">
      <c r="A31" s="157"/>
    </row>
    <row r="32" spans="1:13" s="311" customFormat="1" x14ac:dyDescent="0.2">
      <c r="A32" s="157"/>
    </row>
    <row r="33" spans="1:1" s="311" customFormat="1" x14ac:dyDescent="0.2">
      <c r="A33" s="157"/>
    </row>
    <row r="34" spans="1:1" s="311" customFormat="1" x14ac:dyDescent="0.2">
      <c r="A34" s="157"/>
    </row>
    <row r="35" spans="1:1" s="311" customFormat="1" x14ac:dyDescent="0.2">
      <c r="A35" s="157"/>
    </row>
    <row r="36" spans="1:1" s="311" customFormat="1" x14ac:dyDescent="0.2">
      <c r="A36" s="157"/>
    </row>
    <row r="37" spans="1:1" s="311" customFormat="1" x14ac:dyDescent="0.2">
      <c r="A37" s="157"/>
    </row>
    <row r="38" spans="1:1" s="311" customFormat="1" x14ac:dyDescent="0.2">
      <c r="A38" s="157"/>
    </row>
    <row r="39" spans="1:1" s="311" customFormat="1" x14ac:dyDescent="0.2">
      <c r="A39" s="157"/>
    </row>
    <row r="40" spans="1:1" s="311" customFormat="1" x14ac:dyDescent="0.2">
      <c r="A40" s="157"/>
    </row>
    <row r="41" spans="1:1" s="311" customFormat="1" x14ac:dyDescent="0.2">
      <c r="A41" s="157"/>
    </row>
    <row r="42" spans="1:1" s="311" customFormat="1" x14ac:dyDescent="0.2">
      <c r="A42" s="157"/>
    </row>
    <row r="43" spans="1:1" s="311" customFormat="1" x14ac:dyDescent="0.2">
      <c r="A43" s="157"/>
    </row>
    <row r="44" spans="1:1" s="311" customFormat="1" x14ac:dyDescent="0.2">
      <c r="A44" s="157"/>
    </row>
    <row r="45" spans="1:1" s="311" customFormat="1" x14ac:dyDescent="0.2">
      <c r="A45" s="157"/>
    </row>
    <row r="46" spans="1:1" s="311" customFormat="1" x14ac:dyDescent="0.2">
      <c r="A46" s="157"/>
    </row>
    <row r="47" spans="1:1" s="311" customFormat="1" x14ac:dyDescent="0.2">
      <c r="A47" s="157"/>
    </row>
    <row r="48" spans="1:1" s="311" customFormat="1" x14ac:dyDescent="0.2">
      <c r="A48" s="157"/>
    </row>
    <row r="49" spans="1:1" s="311" customFormat="1" x14ac:dyDescent="0.2">
      <c r="A49" s="157"/>
    </row>
    <row r="50" spans="1:1" s="311" customFormat="1" x14ac:dyDescent="0.2">
      <c r="A50" s="157"/>
    </row>
    <row r="51" spans="1:1" s="311" customFormat="1" x14ac:dyDescent="0.2">
      <c r="A51" s="157"/>
    </row>
    <row r="52" spans="1:1" s="311" customFormat="1" x14ac:dyDescent="0.2">
      <c r="A52" s="157"/>
    </row>
    <row r="53" spans="1:1" s="311" customFormat="1" x14ac:dyDescent="0.2">
      <c r="A53" s="157"/>
    </row>
    <row r="54" spans="1:1" s="311" customFormat="1" x14ac:dyDescent="0.2">
      <c r="A54" s="157"/>
    </row>
    <row r="55" spans="1:1" s="311" customFormat="1" x14ac:dyDescent="0.2">
      <c r="A55" s="157"/>
    </row>
    <row r="56" spans="1:1" s="311" customFormat="1" x14ac:dyDescent="0.2">
      <c r="A56" s="157"/>
    </row>
    <row r="57" spans="1:1" s="311" customFormat="1" x14ac:dyDescent="0.2">
      <c r="A57" s="157"/>
    </row>
    <row r="58" spans="1:1" s="311" customFormat="1" x14ac:dyDescent="0.2">
      <c r="A58" s="157"/>
    </row>
    <row r="59" spans="1:1" s="311" customFormat="1" x14ac:dyDescent="0.2">
      <c r="A59" s="157"/>
    </row>
    <row r="60" spans="1:1" s="311" customFormat="1" x14ac:dyDescent="0.2">
      <c r="A60" s="157"/>
    </row>
    <row r="61" spans="1:1" s="311" customFormat="1" x14ac:dyDescent="0.2">
      <c r="A61" s="157"/>
    </row>
    <row r="62" spans="1:1" s="311" customFormat="1" x14ac:dyDescent="0.2">
      <c r="A62" s="157"/>
    </row>
    <row r="63" spans="1:1" s="311" customFormat="1" x14ac:dyDescent="0.2">
      <c r="A63" s="157"/>
    </row>
    <row r="64" spans="1:1" s="311" customFormat="1" x14ac:dyDescent="0.2">
      <c r="A64" s="157"/>
    </row>
    <row r="65" spans="1:1" s="311" customFormat="1" x14ac:dyDescent="0.2">
      <c r="A65" s="157"/>
    </row>
    <row r="66" spans="1:1" s="311" customFormat="1" x14ac:dyDescent="0.2">
      <c r="A66" s="157"/>
    </row>
    <row r="67" spans="1:1" s="311" customFormat="1" x14ac:dyDescent="0.2">
      <c r="A67" s="157"/>
    </row>
    <row r="68" spans="1:1" s="311" customFormat="1" x14ac:dyDescent="0.2">
      <c r="A68" s="157"/>
    </row>
    <row r="69" spans="1:1" s="311" customFormat="1" x14ac:dyDescent="0.2">
      <c r="A69" s="157"/>
    </row>
    <row r="70" spans="1:1" s="311" customFormat="1" x14ac:dyDescent="0.2">
      <c r="A70" s="157"/>
    </row>
    <row r="71" spans="1:1" s="311" customFormat="1" x14ac:dyDescent="0.2">
      <c r="A71" s="157"/>
    </row>
    <row r="72" spans="1:1" s="311" customFormat="1" x14ac:dyDescent="0.2">
      <c r="A72" s="157"/>
    </row>
    <row r="73" spans="1:1" s="311" customFormat="1" x14ac:dyDescent="0.2">
      <c r="A73" s="157"/>
    </row>
    <row r="74" spans="1:1" s="311" customFormat="1" x14ac:dyDescent="0.2">
      <c r="A74" s="157"/>
    </row>
    <row r="75" spans="1:1" s="311" customFormat="1" x14ac:dyDescent="0.2">
      <c r="A75" s="157"/>
    </row>
    <row r="76" spans="1:1" s="311" customFormat="1" x14ac:dyDescent="0.2">
      <c r="A76" s="157"/>
    </row>
    <row r="77" spans="1:1" s="311" customFormat="1" x14ac:dyDescent="0.2">
      <c r="A77" s="157"/>
    </row>
    <row r="78" spans="1:1" s="311" customFormat="1" x14ac:dyDescent="0.2">
      <c r="A78" s="157"/>
    </row>
    <row r="79" spans="1:1" s="311" customFormat="1" x14ac:dyDescent="0.2">
      <c r="A79" s="157"/>
    </row>
    <row r="80" spans="1:1" s="311" customFormat="1" x14ac:dyDescent="0.2">
      <c r="A80" s="157"/>
    </row>
    <row r="81" spans="1:1" s="311" customFormat="1" x14ac:dyDescent="0.2">
      <c r="A81" s="157"/>
    </row>
    <row r="82" spans="1:1" s="311" customFormat="1" x14ac:dyDescent="0.2">
      <c r="A82" s="157"/>
    </row>
    <row r="83" spans="1:1" s="311" customFormat="1" x14ac:dyDescent="0.2">
      <c r="A83" s="157"/>
    </row>
    <row r="84" spans="1:1" s="311" customFormat="1" x14ac:dyDescent="0.2">
      <c r="A84" s="157"/>
    </row>
    <row r="85" spans="1:1" s="311" customFormat="1" x14ac:dyDescent="0.2">
      <c r="A85" s="157"/>
    </row>
    <row r="86" spans="1:1" s="311" customFormat="1" x14ac:dyDescent="0.2">
      <c r="A86" s="157"/>
    </row>
    <row r="87" spans="1:1" s="311" customFormat="1" x14ac:dyDescent="0.2">
      <c r="A87" s="157"/>
    </row>
    <row r="88" spans="1:1" s="311" customFormat="1" x14ac:dyDescent="0.2">
      <c r="A88" s="157"/>
    </row>
    <row r="89" spans="1:1" s="311" customFormat="1" x14ac:dyDescent="0.2">
      <c r="A89" s="157"/>
    </row>
    <row r="90" spans="1:1" s="311" customFormat="1" x14ac:dyDescent="0.2">
      <c r="A90" s="157"/>
    </row>
    <row r="91" spans="1:1" s="311" customFormat="1" x14ac:dyDescent="0.2">
      <c r="A91" s="157"/>
    </row>
    <row r="92" spans="1:1" s="311" customFormat="1" x14ac:dyDescent="0.2">
      <c r="A92" s="157"/>
    </row>
    <row r="93" spans="1:1" s="311" customFormat="1" x14ac:dyDescent="0.2">
      <c r="A93" s="157"/>
    </row>
    <row r="94" spans="1:1" s="311" customFormat="1" x14ac:dyDescent="0.2">
      <c r="A94" s="157"/>
    </row>
    <row r="95" spans="1:1" s="311" customFormat="1" x14ac:dyDescent="0.2">
      <c r="A95" s="157"/>
    </row>
    <row r="96" spans="1:1" s="311" customFormat="1" x14ac:dyDescent="0.2">
      <c r="A96" s="157"/>
    </row>
    <row r="97" spans="1:1" s="311" customFormat="1" x14ac:dyDescent="0.2">
      <c r="A97" s="157"/>
    </row>
    <row r="98" spans="1:1" s="311" customFormat="1" x14ac:dyDescent="0.2">
      <c r="A98" s="157"/>
    </row>
    <row r="99" spans="1:1" s="311" customFormat="1" x14ac:dyDescent="0.2">
      <c r="A99" s="157"/>
    </row>
  </sheetData>
  <mergeCells count="7">
    <mergeCell ref="A1:M1"/>
    <mergeCell ref="A2:M2"/>
    <mergeCell ref="A3:A5"/>
    <mergeCell ref="B3:B5"/>
    <mergeCell ref="C3:E4"/>
    <mergeCell ref="F3:L4"/>
    <mergeCell ref="M3:M5"/>
  </mergeCells>
  <pageMargins left="0.7" right="0.7" top="0.75" bottom="0.75" header="0.3" footer="0.3"/>
  <pageSetup paperSize="9" scale="5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zoomScale="110" zoomScaleNormal="110" workbookViewId="0">
      <selection activeCell="AE14" sqref="AE14"/>
    </sheetView>
  </sheetViews>
  <sheetFormatPr defaultColWidth="9.140625" defaultRowHeight="12.75" x14ac:dyDescent="0.2"/>
  <cols>
    <col min="1" max="1" width="5.42578125" style="8" customWidth="1"/>
    <col min="2" max="2" width="45.42578125" style="8" customWidth="1"/>
    <col min="3" max="3" width="14" style="8" customWidth="1"/>
    <col min="4" max="4" width="13.7109375" style="170" customWidth="1"/>
    <col min="5" max="5" width="13.140625" style="170" customWidth="1"/>
    <col min="6" max="6" width="14.28515625" style="170" customWidth="1"/>
    <col min="7" max="16384" width="9.140625" style="170"/>
  </cols>
  <sheetData>
    <row r="1" spans="1:6" x14ac:dyDescent="0.2">
      <c r="A1" s="10"/>
      <c r="B1" s="10"/>
      <c r="C1" s="10"/>
    </row>
    <row r="2" spans="1:6" ht="15.75" customHeight="1" x14ac:dyDescent="0.2">
      <c r="A2" s="468" t="s">
        <v>426</v>
      </c>
      <c r="B2" s="326"/>
      <c r="C2" s="326"/>
      <c r="D2" s="326"/>
      <c r="E2" s="326"/>
      <c r="F2" s="326"/>
    </row>
    <row r="3" spans="1:6" x14ac:dyDescent="0.2">
      <c r="B3" s="5"/>
      <c r="C3" s="5"/>
    </row>
    <row r="4" spans="1:6" ht="15" customHeight="1" x14ac:dyDescent="0.2">
      <c r="A4" s="1230" t="s">
        <v>0</v>
      </c>
      <c r="B4" s="1230" t="s">
        <v>132</v>
      </c>
      <c r="C4" s="1230" t="str">
        <f>'Налоги 2022'!C4:C5</f>
        <v>Коэффициент платной деятельности</v>
      </c>
      <c r="D4" s="1226" t="s">
        <v>297</v>
      </c>
      <c r="E4" s="1226"/>
      <c r="F4" s="1226"/>
    </row>
    <row r="5" spans="1:6" ht="25.5" x14ac:dyDescent="0.2">
      <c r="A5" s="1231"/>
      <c r="B5" s="1231"/>
      <c r="C5" s="1231"/>
      <c r="D5" s="350" t="s">
        <v>298</v>
      </c>
      <c r="E5" s="350" t="s">
        <v>299</v>
      </c>
      <c r="F5" s="350" t="s">
        <v>6</v>
      </c>
    </row>
    <row r="6" spans="1:6" x14ac:dyDescent="0.2">
      <c r="A6" s="348">
        <v>2</v>
      </c>
      <c r="B6" s="324" t="str">
        <f>ОХ2021!B5</f>
        <v>МАДОУ ЦРР-детский сад № 2</v>
      </c>
      <c r="C6" s="357"/>
      <c r="D6" s="328">
        <f>'Налоги 2022'!D6</f>
        <v>245167</v>
      </c>
      <c r="E6" s="328">
        <f>'Налоги 2022'!E6</f>
        <v>216605</v>
      </c>
      <c r="F6" s="327">
        <f>ROUND((D6+E6)-((D6+E6)*C6),-2)</f>
        <v>461800</v>
      </c>
    </row>
    <row r="7" spans="1:6" x14ac:dyDescent="0.2">
      <c r="A7" s="348">
        <v>3</v>
      </c>
      <c r="B7" s="324" t="str">
        <f>ОХ2021!B6</f>
        <v>МАДОУ ЦРР-детский сад № 11</v>
      </c>
      <c r="C7" s="357"/>
      <c r="D7" s="328">
        <f>'Налоги 2022'!D7</f>
        <v>180004</v>
      </c>
      <c r="E7" s="328">
        <f>'Налоги 2022'!E7</f>
        <v>2554108</v>
      </c>
      <c r="F7" s="327">
        <f t="shared" ref="F7:F14" si="0">ROUND((D7+E7)-((D7+E7)*C7),-2)</f>
        <v>2734100</v>
      </c>
    </row>
    <row r="8" spans="1:6" x14ac:dyDescent="0.2">
      <c r="A8" s="348">
        <v>4</v>
      </c>
      <c r="B8" s="324" t="str">
        <f>ОХ2021!B7</f>
        <v>МАДОУ ЦРР-детский сад № 13</v>
      </c>
      <c r="C8" s="357">
        <f>'Налоги 2022'!C8</f>
        <v>1E-3</v>
      </c>
      <c r="D8" s="328">
        <f>'Налоги 2022'!D8</f>
        <v>195347</v>
      </c>
      <c r="E8" s="328">
        <f>'Налоги 2022'!E8</f>
        <v>153955</v>
      </c>
      <c r="F8" s="327">
        <f t="shared" si="0"/>
        <v>349000</v>
      </c>
    </row>
    <row r="9" spans="1:6" x14ac:dyDescent="0.2">
      <c r="A9" s="348">
        <v>5</v>
      </c>
      <c r="B9" s="324" t="str">
        <f>ОХ2021!B8</f>
        <v>МАОУ СОШ № 1 структурное подразделение</v>
      </c>
      <c r="C9" s="357"/>
      <c r="D9" s="328">
        <f>'Налоги 2022'!D9</f>
        <v>137908</v>
      </c>
      <c r="E9" s="328">
        <f>'Налоги 2022'!E9</f>
        <v>186359</v>
      </c>
      <c r="F9" s="327">
        <f t="shared" si="0"/>
        <v>324300</v>
      </c>
    </row>
    <row r="10" spans="1:6" ht="25.5" x14ac:dyDescent="0.2">
      <c r="A10" s="348">
        <v>6</v>
      </c>
      <c r="B10" s="324" t="str">
        <f>ОХ2021!B9</f>
        <v>МАОУ СОШ № 2 им.М.И.Грибушина структурное подразделение</v>
      </c>
      <c r="C10" s="357"/>
      <c r="D10" s="328">
        <f>'Налоги 2022'!D10</f>
        <v>156283</v>
      </c>
      <c r="E10" s="328">
        <f>'Налоги 2022'!E10</f>
        <v>54594</v>
      </c>
      <c r="F10" s="327">
        <f t="shared" si="0"/>
        <v>210900</v>
      </c>
    </row>
    <row r="11" spans="1:6" x14ac:dyDescent="0.2">
      <c r="A11" s="348">
        <v>7</v>
      </c>
      <c r="B11" s="324" t="str">
        <f>ОХ2021!B10</f>
        <v>МАОУ СОШ № 10 структурное подразделение</v>
      </c>
      <c r="C11" s="357"/>
      <c r="D11" s="328">
        <f>'Налоги 2022'!D11</f>
        <v>83273</v>
      </c>
      <c r="E11" s="328">
        <f>'Налоги 2022'!E11</f>
        <v>57469</v>
      </c>
      <c r="F11" s="327">
        <f t="shared" si="0"/>
        <v>140700</v>
      </c>
    </row>
    <row r="12" spans="1:6" x14ac:dyDescent="0.2">
      <c r="A12" s="348">
        <v>8</v>
      </c>
      <c r="B12" s="324" t="str">
        <f>ОХ2021!B11</f>
        <v>МАОУ СОШ № 13 структурное подразделение</v>
      </c>
      <c r="C12" s="357"/>
      <c r="D12" s="328">
        <f>'Налоги 2022'!D12</f>
        <v>77584</v>
      </c>
      <c r="E12" s="328">
        <f>'Налоги 2022'!E12</f>
        <v>299280</v>
      </c>
      <c r="F12" s="327">
        <f t="shared" si="0"/>
        <v>376900</v>
      </c>
    </row>
    <row r="13" spans="1:6" x14ac:dyDescent="0.2">
      <c r="A13" s="348">
        <v>9</v>
      </c>
      <c r="B13" s="324" t="str">
        <f>ОХ2021!B12</f>
        <v>Гимназия № 16 структурное подразделение</v>
      </c>
      <c r="C13" s="357"/>
      <c r="D13" s="328">
        <f>'Налоги 2022'!D13</f>
        <v>121832</v>
      </c>
      <c r="E13" s="328">
        <f>'Налоги 2022'!E13</f>
        <v>164248</v>
      </c>
      <c r="F13" s="327">
        <f t="shared" si="0"/>
        <v>286100</v>
      </c>
    </row>
    <row r="14" spans="1:6" ht="25.5" x14ac:dyDescent="0.2">
      <c r="A14" s="348">
        <v>11</v>
      </c>
      <c r="B14" s="324" t="str">
        <f>ОХ2021!B13</f>
        <v>МАОУ ООШ № 17 с кадетскими классами структурное подразделение</v>
      </c>
      <c r="C14" s="357"/>
      <c r="D14" s="328">
        <f>'Налоги 2022'!D14</f>
        <v>38037</v>
      </c>
      <c r="E14" s="328">
        <f>'Налоги 2022'!E14</f>
        <v>0</v>
      </c>
      <c r="F14" s="327">
        <f t="shared" si="0"/>
        <v>38000</v>
      </c>
    </row>
    <row r="15" spans="1:6" x14ac:dyDescent="0.2">
      <c r="A15" s="33"/>
      <c r="B15" s="325" t="s">
        <v>1</v>
      </c>
      <c r="C15" s="325"/>
      <c r="D15" s="66">
        <f>SUM(D6:D14)</f>
        <v>1235435</v>
      </c>
      <c r="E15" s="66">
        <f>SUM(E6:E14)</f>
        <v>3686618</v>
      </c>
      <c r="F15" s="66">
        <f>SUM(F6:F14)</f>
        <v>4921800</v>
      </c>
    </row>
  </sheetData>
  <mergeCells count="4">
    <mergeCell ref="A4:A5"/>
    <mergeCell ref="B4:B5"/>
    <mergeCell ref="D4:F4"/>
    <mergeCell ref="C4:C5"/>
  </mergeCells>
  <pageMargins left="0.7" right="0.7" top="0.75" bottom="0.75" header="0.3" footer="0.3"/>
  <pageSetup paperSize="9" scale="82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5"/>
  <dimension ref="A1:AA8"/>
  <sheetViews>
    <sheetView zoomScale="110" zoomScaleNormal="110" workbookViewId="0">
      <pane xSplit="1" ySplit="3" topLeftCell="R5" activePane="bottomRight" state="frozen"/>
      <selection activeCell="AE14" sqref="AE14"/>
      <selection pane="topRight" activeCell="AE14" sqref="AE14"/>
      <selection pane="bottomLeft" activeCell="AE14" sqref="AE14"/>
      <selection pane="bottomRight" activeCell="AE14" sqref="AE14"/>
    </sheetView>
  </sheetViews>
  <sheetFormatPr defaultColWidth="9.140625" defaultRowHeight="12.75" x14ac:dyDescent="0.2"/>
  <cols>
    <col min="1" max="1" width="39.28515625" style="170" customWidth="1"/>
    <col min="2" max="2" width="13.140625" style="170" customWidth="1"/>
    <col min="3" max="3" width="10.85546875" style="170" customWidth="1"/>
    <col min="4" max="4" width="14.28515625" style="170" customWidth="1"/>
    <col min="5" max="6" width="13.140625" style="170" customWidth="1"/>
    <col min="7" max="7" width="9.28515625" style="170" customWidth="1"/>
    <col min="8" max="8" width="12.28515625" style="170" customWidth="1"/>
    <col min="9" max="9" width="12.85546875" style="170" customWidth="1"/>
    <col min="10" max="10" width="9.5703125" style="170" customWidth="1"/>
    <col min="11" max="11" width="16.28515625" style="170" customWidth="1"/>
    <col min="12" max="12" width="13" style="170" customWidth="1"/>
    <col min="13" max="13" width="13.28515625" style="170" customWidth="1"/>
    <col min="14" max="14" width="9.28515625" style="170" customWidth="1"/>
    <col min="15" max="15" width="11.7109375" style="170" customWidth="1"/>
    <col min="16" max="16" width="13.28515625" style="170" customWidth="1"/>
    <col min="17" max="17" width="16.140625" style="170" customWidth="1"/>
    <col min="18" max="18" width="13.140625" style="170" customWidth="1"/>
    <col min="19" max="20" width="12.28515625" style="170" customWidth="1"/>
    <col min="21" max="21" width="12.5703125" style="170" customWidth="1"/>
    <col min="22" max="22" width="13" style="170" customWidth="1"/>
    <col min="23" max="23" width="13.28515625" style="170" customWidth="1"/>
    <col min="24" max="24" width="19" style="170" customWidth="1"/>
    <col min="25" max="25" width="12.85546875" style="170" customWidth="1"/>
    <col min="26" max="26" width="10.28515625" style="170" customWidth="1"/>
    <col min="27" max="27" width="16.5703125" style="170" customWidth="1"/>
    <col min="28" max="16384" width="9.140625" style="170"/>
  </cols>
  <sheetData>
    <row r="1" spans="1:27" s="68" customFormat="1" x14ac:dyDescent="0.2">
      <c r="A1" s="411" t="s">
        <v>427</v>
      </c>
    </row>
    <row r="2" spans="1:27" ht="90" customHeight="1" x14ac:dyDescent="0.2">
      <c r="A2" s="1232" t="s">
        <v>180</v>
      </c>
      <c r="B2" s="1234" t="s">
        <v>194</v>
      </c>
      <c r="C2" s="1235"/>
      <c r="D2" s="1235"/>
      <c r="E2" s="1235"/>
      <c r="F2" s="1235"/>
      <c r="G2" s="1236"/>
      <c r="H2" s="1237" t="s">
        <v>195</v>
      </c>
      <c r="I2" s="1238"/>
      <c r="J2" s="1239"/>
      <c r="K2" s="1237" t="s">
        <v>196</v>
      </c>
      <c r="L2" s="1238"/>
      <c r="M2" s="1238"/>
      <c r="N2" s="1239"/>
      <c r="O2" s="1242" t="s">
        <v>197</v>
      </c>
      <c r="P2" s="1242" t="s">
        <v>198</v>
      </c>
      <c r="Q2" s="1242" t="s">
        <v>199</v>
      </c>
      <c r="R2" s="1243" t="s">
        <v>210</v>
      </c>
      <c r="S2" s="1244"/>
      <c r="T2" s="1244"/>
      <c r="U2" s="1244"/>
      <c r="V2" s="1244"/>
      <c r="W2" s="1244"/>
      <c r="X2" s="1244"/>
      <c r="Y2" s="1244"/>
      <c r="Z2" s="1245"/>
      <c r="AA2" s="1240" t="s">
        <v>215</v>
      </c>
    </row>
    <row r="3" spans="1:27" ht="112.5" customHeight="1" x14ac:dyDescent="0.2">
      <c r="A3" s="1233"/>
      <c r="B3" s="304" t="s">
        <v>201</v>
      </c>
      <c r="C3" s="304" t="s">
        <v>202</v>
      </c>
      <c r="D3" s="304" t="s">
        <v>203</v>
      </c>
      <c r="E3" s="304" t="s">
        <v>152</v>
      </c>
      <c r="F3" s="304" t="s">
        <v>392</v>
      </c>
      <c r="G3" s="304" t="s">
        <v>208</v>
      </c>
      <c r="H3" s="305" t="s">
        <v>205</v>
      </c>
      <c r="I3" s="305" t="s">
        <v>207</v>
      </c>
      <c r="J3" s="305" t="s">
        <v>208</v>
      </c>
      <c r="K3" s="305" t="s">
        <v>204</v>
      </c>
      <c r="L3" s="305" t="s">
        <v>174</v>
      </c>
      <c r="M3" s="305" t="s">
        <v>209</v>
      </c>
      <c r="N3" s="305" t="s">
        <v>208</v>
      </c>
      <c r="O3" s="1233"/>
      <c r="P3" s="1233"/>
      <c r="Q3" s="1233"/>
      <c r="R3" s="475" t="s">
        <v>357</v>
      </c>
      <c r="S3" s="475" t="s">
        <v>358</v>
      </c>
      <c r="T3" s="475" t="s">
        <v>644</v>
      </c>
      <c r="U3" s="305" t="s">
        <v>206</v>
      </c>
      <c r="V3" s="305" t="s">
        <v>394</v>
      </c>
      <c r="W3" s="305" t="s">
        <v>212</v>
      </c>
      <c r="X3" s="305" t="s">
        <v>211</v>
      </c>
      <c r="Y3" s="305" t="s">
        <v>213</v>
      </c>
      <c r="Z3" s="305" t="s">
        <v>208</v>
      </c>
      <c r="AA3" s="1241"/>
    </row>
    <row r="4" spans="1:27" ht="42" customHeight="1" x14ac:dyDescent="0.2">
      <c r="A4" s="158" t="str">
        <f>'БН реализация 2022'!A4</f>
        <v>Реализация основных общеобразовательных программ дошкольного образования От 1 года до 3 лет Очная группа полного дня</v>
      </c>
      <c r="B4" s="289">
        <f>Электроэнергия!R16</f>
        <v>2749.75</v>
      </c>
      <c r="C4" s="289">
        <f>Тепло!R16</f>
        <v>5631.92</v>
      </c>
      <c r="D4" s="289">
        <f>Водопотребление!R16</f>
        <v>439.99</v>
      </c>
      <c r="E4" s="289">
        <f>Водоотведение!R16</f>
        <v>394.66</v>
      </c>
      <c r="F4" s="289">
        <f>ТКО!P16</f>
        <v>122.42</v>
      </c>
      <c r="G4" s="306">
        <f>SUM(B4:F4)</f>
        <v>9338.74</v>
      </c>
      <c r="H4" s="289">
        <f>'Дератизация, дезинсекция'!S19</f>
        <v>70.09</v>
      </c>
      <c r="I4" s="289">
        <f>Аутсорсинг!P22</f>
        <v>420.57</v>
      </c>
      <c r="J4" s="306">
        <f>SUM(H4:I4)</f>
        <v>490.65999999999997</v>
      </c>
      <c r="K4" s="289">
        <f>'Обслуживание АПС'!G21</f>
        <v>112.19</v>
      </c>
      <c r="L4" s="289">
        <f>'Стрелец- мониторинг'!H28</f>
        <v>41.15</v>
      </c>
      <c r="M4" s="289">
        <f>'Заправка огнетушителей'!K15</f>
        <v>5.54</v>
      </c>
      <c r="N4" s="306">
        <f>SUM(K4:M4)</f>
        <v>158.88</v>
      </c>
      <c r="O4" s="306">
        <f>'Услуги связи'!Q16</f>
        <v>393.6</v>
      </c>
      <c r="P4" s="307"/>
      <c r="Q4" s="307"/>
      <c r="R4" s="117">
        <f>'Обслуживание КТС'!G29</f>
        <v>10.46</v>
      </c>
      <c r="S4" s="117">
        <f>'Абон. плата охраны по КТС'!G31</f>
        <v>12.88</v>
      </c>
      <c r="T4" s="117">
        <f>Охрана!G29</f>
        <v>50.98</v>
      </c>
      <c r="U4" s="289">
        <f>'Лабораторные исследования'!F14</f>
        <v>78.59</v>
      </c>
      <c r="V4" s="289">
        <f>'Программный продукт'!G14</f>
        <v>20.62</v>
      </c>
      <c r="W4" s="289">
        <f>Подписка!E18</f>
        <v>60.95</v>
      </c>
      <c r="X4" s="289">
        <f>Канцтовары!E33</f>
        <v>38.229999999999997</v>
      </c>
      <c r="Y4" s="289">
        <f>'БН реализация 2022'!Y4</f>
        <v>340.58</v>
      </c>
      <c r="Z4" s="306">
        <f>SUM(R4:Y4)</f>
        <v>613.29</v>
      </c>
      <c r="AA4" s="308">
        <f>G4+J4+N4+O4+P4+Q4+Z4</f>
        <v>10995.169999999998</v>
      </c>
    </row>
    <row r="5" spans="1:27" ht="40.5" customHeight="1" x14ac:dyDescent="0.2">
      <c r="A5" s="158" t="str">
        <f>'БН реализация 2022'!A5</f>
        <v>Реализация основных общеобразовательных программ дошкольного образования От 3 лет до 8 лет Очная группа полного дня</v>
      </c>
      <c r="B5" s="289">
        <f>B4</f>
        <v>2749.75</v>
      </c>
      <c r="C5" s="289">
        <f t="shared" ref="C5:E8" si="0">C4</f>
        <v>5631.92</v>
      </c>
      <c r="D5" s="289">
        <f t="shared" si="0"/>
        <v>439.99</v>
      </c>
      <c r="E5" s="289">
        <f t="shared" si="0"/>
        <v>394.66</v>
      </c>
      <c r="F5" s="289">
        <f>F4</f>
        <v>122.42</v>
      </c>
      <c r="G5" s="306">
        <f t="shared" ref="G5:G8" si="1">SUM(B5:F5)</f>
        <v>9338.74</v>
      </c>
      <c r="H5" s="289">
        <f t="shared" ref="H5:I8" si="2">H4</f>
        <v>70.09</v>
      </c>
      <c r="I5" s="289">
        <f t="shared" si="2"/>
        <v>420.57</v>
      </c>
      <c r="J5" s="306">
        <f>SUM(H5:I5)</f>
        <v>490.65999999999997</v>
      </c>
      <c r="K5" s="289">
        <f t="shared" ref="K5:M8" si="3">K4</f>
        <v>112.19</v>
      </c>
      <c r="L5" s="289">
        <f t="shared" si="3"/>
        <v>41.15</v>
      </c>
      <c r="M5" s="289">
        <f t="shared" si="3"/>
        <v>5.54</v>
      </c>
      <c r="N5" s="306">
        <f>SUM(K5:M5)</f>
        <v>158.88</v>
      </c>
      <c r="O5" s="306">
        <f>O4</f>
        <v>393.6</v>
      </c>
      <c r="P5" s="307"/>
      <c r="Q5" s="307"/>
      <c r="R5" s="117">
        <f t="shared" ref="R5:X8" si="4">R4</f>
        <v>10.46</v>
      </c>
      <c r="S5" s="117">
        <f t="shared" si="4"/>
        <v>12.88</v>
      </c>
      <c r="T5" s="117">
        <f t="shared" ref="T5" si="5">T4</f>
        <v>50.98</v>
      </c>
      <c r="U5" s="117">
        <f t="shared" si="4"/>
        <v>78.59</v>
      </c>
      <c r="V5" s="117">
        <f t="shared" si="4"/>
        <v>20.62</v>
      </c>
      <c r="W5" s="117">
        <f t="shared" si="4"/>
        <v>60.95</v>
      </c>
      <c r="X5" s="117">
        <f t="shared" si="4"/>
        <v>38.229999999999997</v>
      </c>
      <c r="Y5" s="289">
        <f>'БН реализация 2022'!Y5</f>
        <v>248.89</v>
      </c>
      <c r="Z5" s="306">
        <f>SUM(R5:Y5)</f>
        <v>521.6</v>
      </c>
      <c r="AA5" s="308">
        <f>G5+J5+N5+O5+P5+Q5+Z5</f>
        <v>10903.48</v>
      </c>
    </row>
    <row r="6" spans="1:27" ht="73.900000000000006" customHeight="1" x14ac:dyDescent="0.2">
      <c r="A6" s="158" t="str">
        <f>'БН реализация 2022'!A6</f>
        <v>Реализация основных общеобразовательных программ дошкольного образования Обучающиеся с ограниченными возможностями здоровья (ОВЗ) От 1 года до 3 лет Очная группа полного дня</v>
      </c>
      <c r="B6" s="289">
        <f>B5</f>
        <v>2749.75</v>
      </c>
      <c r="C6" s="289">
        <f t="shared" si="0"/>
        <v>5631.92</v>
      </c>
      <c r="D6" s="289">
        <f t="shared" si="0"/>
        <v>439.99</v>
      </c>
      <c r="E6" s="289">
        <f t="shared" si="0"/>
        <v>394.66</v>
      </c>
      <c r="F6" s="289">
        <f>F5</f>
        <v>122.42</v>
      </c>
      <c r="G6" s="306">
        <f t="shared" si="1"/>
        <v>9338.74</v>
      </c>
      <c r="H6" s="289">
        <f t="shared" si="2"/>
        <v>70.09</v>
      </c>
      <c r="I6" s="289">
        <f t="shared" si="2"/>
        <v>420.57</v>
      </c>
      <c r="J6" s="306">
        <f>SUM(H6:I6)</f>
        <v>490.65999999999997</v>
      </c>
      <c r="K6" s="289">
        <f t="shared" si="3"/>
        <v>112.19</v>
      </c>
      <c r="L6" s="289">
        <f t="shared" si="3"/>
        <v>41.15</v>
      </c>
      <c r="M6" s="289">
        <f t="shared" si="3"/>
        <v>5.54</v>
      </c>
      <c r="N6" s="306">
        <f>SUM(K6:M6)</f>
        <v>158.88</v>
      </c>
      <c r="O6" s="306">
        <f>O5</f>
        <v>393.6</v>
      </c>
      <c r="P6" s="307"/>
      <c r="Q6" s="307"/>
      <c r="R6" s="117">
        <f t="shared" si="4"/>
        <v>10.46</v>
      </c>
      <c r="S6" s="117">
        <f t="shared" si="4"/>
        <v>12.88</v>
      </c>
      <c r="T6" s="117">
        <f t="shared" ref="T6" si="6">T5</f>
        <v>50.98</v>
      </c>
      <c r="U6" s="117">
        <f t="shared" si="4"/>
        <v>78.59</v>
      </c>
      <c r="V6" s="117">
        <f t="shared" si="4"/>
        <v>20.62</v>
      </c>
      <c r="W6" s="117">
        <f t="shared" si="4"/>
        <v>60.95</v>
      </c>
      <c r="X6" s="117">
        <f t="shared" si="4"/>
        <v>38.229999999999997</v>
      </c>
      <c r="Y6" s="289">
        <f>Y4</f>
        <v>340.58</v>
      </c>
      <c r="Z6" s="306">
        <f>SUM(R6:Y6)</f>
        <v>613.29</v>
      </c>
      <c r="AA6" s="308">
        <f>G6+J6+N6+O6+P6+Q6+Z6</f>
        <v>10995.169999999998</v>
      </c>
    </row>
    <row r="7" spans="1:27" ht="68.25" customHeight="1" x14ac:dyDescent="0.2">
      <c r="A7" s="158" t="str">
        <f>'БН реализация 2022'!A7</f>
        <v>Реализация основных общеобразовательных программ дошкольного образования Обучающиеся с ограниченными возможностями здоровья (ОВЗ) От 3 лет до 8 лет Очная группа полного дня</v>
      </c>
      <c r="B7" s="289">
        <f>B5</f>
        <v>2749.75</v>
      </c>
      <c r="C7" s="289">
        <f>C5</f>
        <v>5631.92</v>
      </c>
      <c r="D7" s="289">
        <f>D5</f>
        <v>439.99</v>
      </c>
      <c r="E7" s="289">
        <f>E5</f>
        <v>394.66</v>
      </c>
      <c r="F7" s="289">
        <f>F5</f>
        <v>122.42</v>
      </c>
      <c r="G7" s="306">
        <f t="shared" si="1"/>
        <v>9338.74</v>
      </c>
      <c r="H7" s="289">
        <f>H5</f>
        <v>70.09</v>
      </c>
      <c r="I7" s="289">
        <f>I5</f>
        <v>420.57</v>
      </c>
      <c r="J7" s="306">
        <f>SUM(H7:I7)</f>
        <v>490.65999999999997</v>
      </c>
      <c r="K7" s="289">
        <f>K5</f>
        <v>112.19</v>
      </c>
      <c r="L7" s="289">
        <f>L5</f>
        <v>41.15</v>
      </c>
      <c r="M7" s="289">
        <f>M5</f>
        <v>5.54</v>
      </c>
      <c r="N7" s="306">
        <f>SUM(K7:M7)</f>
        <v>158.88</v>
      </c>
      <c r="O7" s="306">
        <f>O5</f>
        <v>393.6</v>
      </c>
      <c r="P7" s="306"/>
      <c r="Q7" s="306"/>
      <c r="R7" s="117">
        <f t="shared" ref="R7:X7" si="7">R5</f>
        <v>10.46</v>
      </c>
      <c r="S7" s="117">
        <f t="shared" si="7"/>
        <v>12.88</v>
      </c>
      <c r="T7" s="117">
        <f t="shared" ref="T7" si="8">T5</f>
        <v>50.98</v>
      </c>
      <c r="U7" s="117">
        <f t="shared" si="7"/>
        <v>78.59</v>
      </c>
      <c r="V7" s="117">
        <f t="shared" si="7"/>
        <v>20.62</v>
      </c>
      <c r="W7" s="117">
        <f t="shared" si="7"/>
        <v>60.95</v>
      </c>
      <c r="X7" s="117">
        <f t="shared" si="7"/>
        <v>38.229999999999997</v>
      </c>
      <c r="Y7" s="289">
        <f>'БН реализация 2022'!Y7</f>
        <v>248.89</v>
      </c>
      <c r="Z7" s="306">
        <f>SUM(R7:Y7)</f>
        <v>521.6</v>
      </c>
      <c r="AA7" s="308">
        <f>G7+J7+N7+O7+P7+Q7+Z7</f>
        <v>10903.48</v>
      </c>
    </row>
    <row r="8" spans="1:27" ht="87.6" customHeight="1" x14ac:dyDescent="0.2">
      <c r="A8" s="158" t="str">
        <f>'БН реализация 2022'!A8</f>
        <v>Реализация основных общеобразовательных программ дошкольного образования Адаптированная образовательная программа От 3 лет до 8 лет Очная группа полного дня</v>
      </c>
      <c r="B8" s="289">
        <f>B7</f>
        <v>2749.75</v>
      </c>
      <c r="C8" s="289">
        <f t="shared" si="0"/>
        <v>5631.92</v>
      </c>
      <c r="D8" s="289">
        <f t="shared" si="0"/>
        <v>439.99</v>
      </c>
      <c r="E8" s="289">
        <f t="shared" si="0"/>
        <v>394.66</v>
      </c>
      <c r="F8" s="289">
        <f>F7</f>
        <v>122.42</v>
      </c>
      <c r="G8" s="306">
        <f t="shared" si="1"/>
        <v>9338.74</v>
      </c>
      <c r="H8" s="289">
        <f t="shared" si="2"/>
        <v>70.09</v>
      </c>
      <c r="I8" s="289">
        <f t="shared" si="2"/>
        <v>420.57</v>
      </c>
      <c r="J8" s="306">
        <f>SUM(H8:I8)</f>
        <v>490.65999999999997</v>
      </c>
      <c r="K8" s="289">
        <f t="shared" si="3"/>
        <v>112.19</v>
      </c>
      <c r="L8" s="289">
        <f t="shared" si="3"/>
        <v>41.15</v>
      </c>
      <c r="M8" s="289">
        <f t="shared" si="3"/>
        <v>5.54</v>
      </c>
      <c r="N8" s="306">
        <f>SUM(K8:M8)</f>
        <v>158.88</v>
      </c>
      <c r="O8" s="306">
        <f>O7</f>
        <v>393.6</v>
      </c>
      <c r="P8" s="307"/>
      <c r="Q8" s="307"/>
      <c r="R8" s="117">
        <f t="shared" si="4"/>
        <v>10.46</v>
      </c>
      <c r="S8" s="117">
        <f t="shared" si="4"/>
        <v>12.88</v>
      </c>
      <c r="T8" s="117">
        <f t="shared" ref="T8" si="9">T7</f>
        <v>50.98</v>
      </c>
      <c r="U8" s="117">
        <f t="shared" si="4"/>
        <v>78.59</v>
      </c>
      <c r="V8" s="117">
        <f t="shared" si="4"/>
        <v>20.62</v>
      </c>
      <c r="W8" s="117">
        <f t="shared" si="4"/>
        <v>60.95</v>
      </c>
      <c r="X8" s="117">
        <f t="shared" si="4"/>
        <v>38.229999999999997</v>
      </c>
      <c r="Y8" s="289">
        <f>'БН реализация 2022'!Y8</f>
        <v>248.89</v>
      </c>
      <c r="Z8" s="306">
        <f>SUM(R8:Y8)</f>
        <v>521.6</v>
      </c>
      <c r="AA8" s="308">
        <f>G8+J8+N8+O8+P8+Q8+Z8</f>
        <v>10903.48</v>
      </c>
    </row>
  </sheetData>
  <mergeCells count="9">
    <mergeCell ref="P2:P3"/>
    <mergeCell ref="Q2:Q3"/>
    <mergeCell ref="AA2:AA3"/>
    <mergeCell ref="A2:A3"/>
    <mergeCell ref="B2:G2"/>
    <mergeCell ref="H2:J2"/>
    <mergeCell ref="K2:N2"/>
    <mergeCell ref="O2:O3"/>
    <mergeCell ref="R2:Z2"/>
  </mergeCells>
  <pageMargins left="0.7" right="0.7" top="0.75" bottom="0.75" header="0.3" footer="0.3"/>
  <pageSetup paperSize="9" scale="23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6"/>
  <dimension ref="A1:D12"/>
  <sheetViews>
    <sheetView topLeftCell="A3" zoomScale="110" zoomScaleNormal="110" workbookViewId="0">
      <selection activeCell="AE14" sqref="AE14"/>
    </sheetView>
  </sheetViews>
  <sheetFormatPr defaultColWidth="9.140625" defaultRowHeight="12.75" x14ac:dyDescent="0.2"/>
  <cols>
    <col min="1" max="1" width="39.28515625" style="170" customWidth="1"/>
    <col min="2" max="2" width="14.140625" style="170" customWidth="1"/>
    <col min="3" max="3" width="15.42578125" style="170" customWidth="1"/>
    <col min="4" max="4" width="16.5703125" style="170" customWidth="1"/>
    <col min="5" max="16384" width="9.140625" style="170"/>
  </cols>
  <sheetData>
    <row r="1" spans="1:4" s="303" customFormat="1" x14ac:dyDescent="0.2">
      <c r="A1" s="411" t="s">
        <v>427</v>
      </c>
      <c r="B1" s="68"/>
      <c r="C1" s="68"/>
    </row>
    <row r="2" spans="1:4" ht="90" customHeight="1" x14ac:dyDescent="0.2">
      <c r="A2" s="1232" t="s">
        <v>180</v>
      </c>
      <c r="B2" s="1242" t="s">
        <v>242</v>
      </c>
      <c r="C2" s="1242" t="s">
        <v>200</v>
      </c>
      <c r="D2" s="1240" t="s">
        <v>215</v>
      </c>
    </row>
    <row r="3" spans="1:4" ht="88.5" customHeight="1" x14ac:dyDescent="0.2">
      <c r="A3" s="1233"/>
      <c r="B3" s="1233"/>
      <c r="C3" s="1233"/>
      <c r="D3" s="1241"/>
    </row>
    <row r="4" spans="1:4" ht="38.25" x14ac:dyDescent="0.2">
      <c r="A4" s="154" t="str">
        <f>'БН присмотр 2022'!A4</f>
        <v>Присмотр и уход Дети-сироты и дети, оставшиеся без попечения родителей От 1 года до 3 лет группа полного дня</v>
      </c>
      <c r="B4" s="155">
        <f>'БН присмотр 2022'!B4</f>
        <v>30162.2</v>
      </c>
      <c r="C4" s="155">
        <f>'БН присмотр 2022'!C4</f>
        <v>695.3599999999999</v>
      </c>
      <c r="D4" s="308">
        <f t="shared" ref="D4:D12" si="0">SUM(B4:C4)</f>
        <v>30857.56</v>
      </c>
    </row>
    <row r="5" spans="1:4" ht="43.5" customHeight="1" x14ac:dyDescent="0.2">
      <c r="A5" s="154" t="str">
        <f>'БН присмотр 2022'!A5</f>
        <v>Присмотр и уход Физические лица за исключением льготных категорий От 1 года до 3 лет группа полного дня</v>
      </c>
      <c r="B5" s="155">
        <f>'БН присмотр 2022'!B5</f>
        <v>30162.2</v>
      </c>
      <c r="C5" s="155">
        <f>'БН присмотр 2022'!C5</f>
        <v>695.3599999999999</v>
      </c>
      <c r="D5" s="308">
        <f t="shared" si="0"/>
        <v>30857.56</v>
      </c>
    </row>
    <row r="6" spans="1:4" ht="43.5" customHeight="1" x14ac:dyDescent="0.2">
      <c r="A6" s="478" t="str">
        <f>'БН присмотр 2022'!A6</f>
        <v>Присмотр и уход Физические лица льготных категорий, определяемых учредителем От 3 лет до 8 лет группа полного дня</v>
      </c>
      <c r="B6" s="155">
        <f>'БН присмотр 2022'!B6</f>
        <v>30162.2</v>
      </c>
      <c r="C6" s="155">
        <f>'БН присмотр 2022'!C6</f>
        <v>695.3599999999999</v>
      </c>
      <c r="D6" s="308">
        <f t="shared" si="0"/>
        <v>30857.56</v>
      </c>
    </row>
    <row r="7" spans="1:4" ht="43.5" customHeight="1" x14ac:dyDescent="0.2">
      <c r="A7" s="478" t="str">
        <f>'БН присмотр 2022'!A7</f>
        <v>Присмотр и уход Дети-инвалиды От 1 лет до 3 лет группа полного дня</v>
      </c>
      <c r="B7" s="155">
        <f>'БН присмотр 2022'!B7</f>
        <v>30162.2</v>
      </c>
      <c r="C7" s="155">
        <f>'БН присмотр 2022'!C7</f>
        <v>695.3599999999999</v>
      </c>
      <c r="D7" s="308">
        <f t="shared" ref="D7" si="1">SUM(B7:C7)</f>
        <v>30857.56</v>
      </c>
    </row>
    <row r="8" spans="1:4" ht="43.5" customHeight="1" x14ac:dyDescent="0.2">
      <c r="A8" s="154" t="e">
        <f>'БН присмотр 2022'!A8</f>
        <v>#REF!</v>
      </c>
      <c r="B8" s="155">
        <f>'БН присмотр 2022'!B8</f>
        <v>35596.199999999997</v>
      </c>
      <c r="C8" s="155">
        <f>'БН присмотр 2022'!C8</f>
        <v>534.89</v>
      </c>
      <c r="D8" s="308">
        <f t="shared" si="0"/>
        <v>36131.089999999997</v>
      </c>
    </row>
    <row r="9" spans="1:4" ht="44.25" customHeight="1" x14ac:dyDescent="0.2">
      <c r="A9" s="154" t="str">
        <f>'БН присмотр 2022'!A9</f>
        <v>Присмотр и уход Дети с туберкулезной интоксикацией От 3 лет до 8 лет группа полного дня</v>
      </c>
      <c r="B9" s="155">
        <f>'БН присмотр 2022'!B9</f>
        <v>35596.199999999997</v>
      </c>
      <c r="C9" s="155">
        <f>'БН присмотр 2022'!C9</f>
        <v>534.89</v>
      </c>
      <c r="D9" s="308">
        <f t="shared" si="0"/>
        <v>36131.089999999997</v>
      </c>
    </row>
    <row r="10" spans="1:4" ht="43.5" customHeight="1" x14ac:dyDescent="0.2">
      <c r="A10" s="154" t="str">
        <f>'БН присмотр 2022'!A10</f>
        <v>Присмотр и уход Дети-сироты и дети, оставшиеся без попечения родителей От 3 лет до 8 лет группа полного дня</v>
      </c>
      <c r="B10" s="155">
        <f>'БН присмотр 2022'!B10</f>
        <v>35596.199999999997</v>
      </c>
      <c r="C10" s="155">
        <f>'БН присмотр 2022'!C10</f>
        <v>534.89</v>
      </c>
      <c r="D10" s="308">
        <f t="shared" si="0"/>
        <v>36131.089999999997</v>
      </c>
    </row>
    <row r="11" spans="1:4" ht="26.25" customHeight="1" x14ac:dyDescent="0.2">
      <c r="A11" s="154" t="str">
        <f>'БН присмотр 2022'!A11</f>
        <v>Присмотр и уход Дети-инвалиды От 3 лет до 8 лет группа полного дня</v>
      </c>
      <c r="B11" s="155">
        <f>'БН присмотр 2022'!B11</f>
        <v>35596.199999999997</v>
      </c>
      <c r="C11" s="155">
        <f>'БН присмотр 2022'!C11</f>
        <v>534.89</v>
      </c>
      <c r="D11" s="308">
        <f t="shared" si="0"/>
        <v>36131.089999999997</v>
      </c>
    </row>
    <row r="12" spans="1:4" ht="43.5" customHeight="1" x14ac:dyDescent="0.2">
      <c r="A12" s="154" t="str">
        <f>'БН присмотр 2022'!A12</f>
        <v>Присмотр и уход Физические лица за исключением льготных категорий От 3 лет до 8 лет группа полного дня</v>
      </c>
      <c r="B12" s="155">
        <f>'БН присмотр 2022'!B12</f>
        <v>35596.199999999997</v>
      </c>
      <c r="C12" s="155">
        <f>'БН присмотр 2022'!C12</f>
        <v>534.89</v>
      </c>
      <c r="D12" s="308">
        <f t="shared" si="0"/>
        <v>36131.089999999997</v>
      </c>
    </row>
  </sheetData>
  <mergeCells count="4">
    <mergeCell ref="A2:A3"/>
    <mergeCell ref="B2:B3"/>
    <mergeCell ref="C2:C3"/>
    <mergeCell ref="D2:D3"/>
  </mergeCells>
  <pageMargins left="0.7" right="0.7" top="0.75" bottom="0.75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7"/>
  <dimension ref="A1:M99"/>
  <sheetViews>
    <sheetView topLeftCell="A10" zoomScale="110" zoomScaleNormal="110" workbookViewId="0">
      <selection activeCell="AE14" sqref="AE14"/>
    </sheetView>
  </sheetViews>
  <sheetFormatPr defaultColWidth="9.140625" defaultRowHeight="12.75" x14ac:dyDescent="0.2"/>
  <cols>
    <col min="1" max="1" width="40.28515625" style="309" customWidth="1"/>
    <col min="2" max="2" width="11.140625" style="309" customWidth="1"/>
    <col min="3" max="3" width="9.28515625" style="309" bestFit="1" customWidth="1"/>
    <col min="4" max="4" width="10.28515625" style="309" bestFit="1" customWidth="1"/>
    <col min="5" max="12" width="9.28515625" style="309" bestFit="1" customWidth="1"/>
    <col min="13" max="13" width="27.7109375" style="309" customWidth="1"/>
    <col min="14" max="16384" width="9.140625" style="309"/>
  </cols>
  <sheetData>
    <row r="1" spans="1:13" x14ac:dyDescent="0.2">
      <c r="A1" s="1246" t="s">
        <v>428</v>
      </c>
      <c r="B1" s="1247"/>
      <c r="C1" s="1247"/>
      <c r="D1" s="1247"/>
      <c r="E1" s="1247"/>
      <c r="F1" s="1247"/>
      <c r="G1" s="1247"/>
      <c r="H1" s="1247"/>
      <c r="I1" s="1247"/>
      <c r="J1" s="1247"/>
      <c r="K1" s="1247"/>
      <c r="L1" s="1247"/>
      <c r="M1" s="1247"/>
    </row>
    <row r="2" spans="1:13" x14ac:dyDescent="0.2">
      <c r="A2" s="1248" t="s">
        <v>216</v>
      </c>
      <c r="B2" s="1248"/>
      <c r="C2" s="1248"/>
      <c r="D2" s="1248"/>
      <c r="E2" s="1248"/>
      <c r="F2" s="1248"/>
      <c r="G2" s="1248"/>
      <c r="H2" s="1248"/>
      <c r="I2" s="1248"/>
      <c r="J2" s="1248"/>
      <c r="K2" s="1248"/>
      <c r="L2" s="1248"/>
      <c r="M2" s="1248"/>
    </row>
    <row r="3" spans="1:13" ht="70.5" customHeight="1" x14ac:dyDescent="0.2">
      <c r="A3" s="1221" t="s">
        <v>180</v>
      </c>
      <c r="B3" s="1221" t="s">
        <v>217</v>
      </c>
      <c r="C3" s="1221" t="s">
        <v>218</v>
      </c>
      <c r="D3" s="1221"/>
      <c r="E3" s="1221"/>
      <c r="F3" s="1249" t="s">
        <v>200</v>
      </c>
      <c r="G3" s="1250"/>
      <c r="H3" s="1250"/>
      <c r="I3" s="1250"/>
      <c r="J3" s="1250"/>
      <c r="K3" s="1250"/>
      <c r="L3" s="1251"/>
      <c r="M3" s="1221" t="s">
        <v>219</v>
      </c>
    </row>
    <row r="4" spans="1:13" ht="15" customHeight="1" x14ac:dyDescent="0.2">
      <c r="A4" s="1221"/>
      <c r="B4" s="1221"/>
      <c r="C4" s="1221"/>
      <c r="D4" s="1221"/>
      <c r="E4" s="1221"/>
      <c r="F4" s="1252"/>
      <c r="G4" s="1253"/>
      <c r="H4" s="1253"/>
      <c r="I4" s="1253"/>
      <c r="J4" s="1253"/>
      <c r="K4" s="1253"/>
      <c r="L4" s="1254"/>
      <c r="M4" s="1221"/>
    </row>
    <row r="5" spans="1:13" x14ac:dyDescent="0.2">
      <c r="A5" s="1221"/>
      <c r="B5" s="1221"/>
      <c r="C5" s="292" t="s">
        <v>220</v>
      </c>
      <c r="D5" s="292" t="s">
        <v>221</v>
      </c>
      <c r="E5" s="292" t="s">
        <v>222</v>
      </c>
      <c r="F5" s="292" t="s">
        <v>223</v>
      </c>
      <c r="G5" s="292" t="s">
        <v>224</v>
      </c>
      <c r="H5" s="292" t="s">
        <v>225</v>
      </c>
      <c r="I5" s="292" t="s">
        <v>226</v>
      </c>
      <c r="J5" s="292" t="s">
        <v>227</v>
      </c>
      <c r="K5" s="292" t="s">
        <v>228</v>
      </c>
      <c r="L5" s="292" t="s">
        <v>229</v>
      </c>
      <c r="M5" s="1221"/>
    </row>
    <row r="6" spans="1:13" ht="15.75" customHeight="1" x14ac:dyDescent="0.2">
      <c r="A6" s="292">
        <v>1</v>
      </c>
      <c r="B6" s="292">
        <v>2</v>
      </c>
      <c r="C6" s="292">
        <v>3</v>
      </c>
      <c r="D6" s="292">
        <v>4</v>
      </c>
      <c r="E6" s="292">
        <v>5</v>
      </c>
      <c r="F6" s="292">
        <v>6</v>
      </c>
      <c r="G6" s="292">
        <v>7</v>
      </c>
      <c r="H6" s="292">
        <v>8</v>
      </c>
      <c r="I6" s="292">
        <v>9</v>
      </c>
      <c r="J6" s="292">
        <v>10</v>
      </c>
      <c r="K6" s="292">
        <v>11</v>
      </c>
      <c r="L6" s="292">
        <v>12</v>
      </c>
      <c r="M6" s="292" t="s">
        <v>230</v>
      </c>
    </row>
    <row r="7" spans="1:13" ht="46.15" customHeight="1" x14ac:dyDescent="0.2">
      <c r="A7" s="158" t="str">
        <f>'БН Реализация 2023'!A4</f>
        <v>Реализация основных общеобразовательных программ дошкольного образования От 1 года до 3 лет Очная группа полного дня</v>
      </c>
      <c r="B7" s="469" t="s">
        <v>343</v>
      </c>
      <c r="C7" s="292"/>
      <c r="D7" s="292"/>
      <c r="E7" s="292"/>
      <c r="F7" s="155">
        <f>'БН Реализация 2023'!G4</f>
        <v>9338.74</v>
      </c>
      <c r="G7" s="155">
        <f>'БН Реализация 2023'!J4</f>
        <v>490.65999999999997</v>
      </c>
      <c r="H7" s="155">
        <f>'БН Реализация 2023'!N4</f>
        <v>158.88</v>
      </c>
      <c r="I7" s="155">
        <f>'БН Реализация 2023'!O4</f>
        <v>393.6</v>
      </c>
      <c r="J7" s="292"/>
      <c r="K7" s="292"/>
      <c r="L7" s="155">
        <f>'БН Реализация 2023'!Z4</f>
        <v>613.29</v>
      </c>
      <c r="M7" s="155">
        <f t="shared" ref="M7:M18" si="0">SUM(C7:L7)</f>
        <v>10995.169999999998</v>
      </c>
    </row>
    <row r="8" spans="1:13" ht="45" customHeight="1" x14ac:dyDescent="0.2">
      <c r="A8" s="158" t="str">
        <f>'БН Реализация 2023'!A5</f>
        <v>Реализация основных общеобразовательных программ дошкольного образования От 3 лет до 8 лет Очная группа полного дня</v>
      </c>
      <c r="B8" s="469" t="s">
        <v>344</v>
      </c>
      <c r="C8" s="292"/>
      <c r="D8" s="292"/>
      <c r="E8" s="292"/>
      <c r="F8" s="155">
        <f>'БН Реализация 2023'!G5</f>
        <v>9338.74</v>
      </c>
      <c r="G8" s="155">
        <f>'БН Реализация 2023'!J5</f>
        <v>490.65999999999997</v>
      </c>
      <c r="H8" s="155">
        <f>'БН Реализация 2023'!N5</f>
        <v>158.88</v>
      </c>
      <c r="I8" s="155">
        <f>'БН Реализация 2023'!O5</f>
        <v>393.6</v>
      </c>
      <c r="J8" s="155"/>
      <c r="K8" s="155"/>
      <c r="L8" s="155">
        <f>'БН Реализация 2023'!Z5</f>
        <v>521.6</v>
      </c>
      <c r="M8" s="155">
        <f t="shared" si="0"/>
        <v>10903.48</v>
      </c>
    </row>
    <row r="9" spans="1:13" ht="75" customHeight="1" x14ac:dyDescent="0.2">
      <c r="A9" s="158" t="str">
        <f>'БН Реализация 2023'!A6</f>
        <v>Реализация основных общеобразовательных программ дошкольного образования Обучающиеся с ограниченными возможностями здоровья (ОВЗ) От 1 года до 3 лет Очная группа полного дня</v>
      </c>
      <c r="B9" s="469" t="s">
        <v>377</v>
      </c>
      <c r="C9" s="549"/>
      <c r="D9" s="549"/>
      <c r="E9" s="549"/>
      <c r="F9" s="155">
        <f>'БН Реализация 2023'!G6</f>
        <v>9338.74</v>
      </c>
      <c r="G9" s="155">
        <f>'БН Реализация 2023'!J6</f>
        <v>490.65999999999997</v>
      </c>
      <c r="H9" s="155">
        <f>'БН Реализация 2023'!N6</f>
        <v>158.88</v>
      </c>
      <c r="I9" s="155">
        <f>'БН Реализация 2023'!O6</f>
        <v>393.6</v>
      </c>
      <c r="J9" s="155"/>
      <c r="K9" s="155"/>
      <c r="L9" s="155">
        <f>'БН Реализация 2023'!Z6</f>
        <v>613.29</v>
      </c>
      <c r="M9" s="155">
        <f t="shared" si="0"/>
        <v>10995.169999999998</v>
      </c>
    </row>
    <row r="10" spans="1:13" ht="73.150000000000006" customHeight="1" x14ac:dyDescent="0.2">
      <c r="A10" s="158" t="str">
        <f>'БН Реализация 2023'!A7</f>
        <v>Реализация основных общеобразовательных программ дошкольного образования Обучающиеся с ограниченными возможностями здоровья (ОВЗ) От 3 лет до 8 лет Очная группа полного дня</v>
      </c>
      <c r="B10" s="469" t="s">
        <v>345</v>
      </c>
      <c r="C10" s="292"/>
      <c r="D10" s="292"/>
      <c r="E10" s="292"/>
      <c r="F10" s="155">
        <f>'БН Реализация 2023'!G7</f>
        <v>9338.74</v>
      </c>
      <c r="G10" s="155">
        <f>'БН Реализация 2023'!J7</f>
        <v>490.65999999999997</v>
      </c>
      <c r="H10" s="155">
        <f>'БН Реализация 2023'!N7</f>
        <v>158.88</v>
      </c>
      <c r="I10" s="155">
        <f>'БН Реализация 2023'!O7</f>
        <v>393.6</v>
      </c>
      <c r="J10" s="155"/>
      <c r="K10" s="155"/>
      <c r="L10" s="155">
        <f>'БН Реализация 2023'!Z7</f>
        <v>521.6</v>
      </c>
      <c r="M10" s="155">
        <f t="shared" si="0"/>
        <v>10903.48</v>
      </c>
    </row>
    <row r="11" spans="1:13" ht="85.15" customHeight="1" x14ac:dyDescent="0.2">
      <c r="A11" s="158" t="str">
        <f>'БН Реализация 2023'!A8</f>
        <v>Реализация основных общеобразовательных программ дошкольного образования Адаптированная образовательная программа От 3 лет до 8 лет Очная группа полного дня</v>
      </c>
      <c r="B11" s="469" t="s">
        <v>346</v>
      </c>
      <c r="C11" s="319"/>
      <c r="D11" s="319"/>
      <c r="E11" s="319"/>
      <c r="F11" s="155">
        <f>'БН Реализация 2023'!G8</f>
        <v>9338.74</v>
      </c>
      <c r="G11" s="155">
        <f>'БН Реализация 2023'!J8</f>
        <v>490.65999999999997</v>
      </c>
      <c r="H11" s="155">
        <f>'БН Реализация 2023'!N8</f>
        <v>158.88</v>
      </c>
      <c r="I11" s="155">
        <f>'БН Реализация 2023'!O8</f>
        <v>393.6</v>
      </c>
      <c r="J11" s="155"/>
      <c r="K11" s="155"/>
      <c r="L11" s="155">
        <f>'БН Реализация 2023'!Z8</f>
        <v>521.6</v>
      </c>
      <c r="M11" s="155">
        <f t="shared" si="0"/>
        <v>10903.48</v>
      </c>
    </row>
    <row r="12" spans="1:13" ht="42" customHeight="1" x14ac:dyDescent="0.2">
      <c r="A12" s="156" t="str">
        <f>'БН присмотр 2023'!A4</f>
        <v>Присмотр и уход Дети-сироты и дети, оставшиеся без попечения родителей От 1 года до 3 лет группа полного дня</v>
      </c>
      <c r="B12" s="469" t="s">
        <v>349</v>
      </c>
      <c r="C12" s="310"/>
      <c r="D12" s="155">
        <f>'БН присмотр 2023'!B4</f>
        <v>30162.2</v>
      </c>
      <c r="E12" s="290"/>
      <c r="F12" s="310"/>
      <c r="G12" s="310"/>
      <c r="H12" s="310"/>
      <c r="I12" s="310"/>
      <c r="J12" s="310"/>
      <c r="K12" s="310"/>
      <c r="L12" s="165">
        <f>'БН присмотр 2023'!C4</f>
        <v>695.3599999999999</v>
      </c>
      <c r="M12" s="155">
        <f t="shared" si="0"/>
        <v>30857.56</v>
      </c>
    </row>
    <row r="13" spans="1:13" ht="42.75" customHeight="1" x14ac:dyDescent="0.2">
      <c r="A13" s="156" t="str">
        <f>'БН присмотр 2023'!A5</f>
        <v>Присмотр и уход Физические лица за исключением льготных категорий От 1 года до 3 лет группа полного дня</v>
      </c>
      <c r="B13" s="469" t="s">
        <v>347</v>
      </c>
      <c r="C13" s="310"/>
      <c r="D13" s="155">
        <f>'БН присмотр 2023'!B5</f>
        <v>30162.2</v>
      </c>
      <c r="E13" s="290"/>
      <c r="F13" s="310"/>
      <c r="G13" s="310"/>
      <c r="H13" s="310"/>
      <c r="I13" s="310"/>
      <c r="J13" s="310"/>
      <c r="K13" s="310"/>
      <c r="L13" s="165">
        <f>'БН присмотр 2023'!C5</f>
        <v>695.3599999999999</v>
      </c>
      <c r="M13" s="155">
        <f t="shared" si="0"/>
        <v>30857.56</v>
      </c>
    </row>
    <row r="14" spans="1:13" ht="42.75" customHeight="1" x14ac:dyDescent="0.2">
      <c r="A14" s="156" t="str">
        <f>'БН присмотр 2023'!A6</f>
        <v>Присмотр и уход Физические лица льготных категорий, определяемых учредителем От 3 лет до 8 лет группа полного дня</v>
      </c>
      <c r="B14" s="469" t="s">
        <v>377</v>
      </c>
      <c r="C14" s="310"/>
      <c r="D14" s="155">
        <f>'БН присмотр 2023'!B6</f>
        <v>30162.2</v>
      </c>
      <c r="E14" s="317"/>
      <c r="F14" s="310"/>
      <c r="G14" s="310"/>
      <c r="H14" s="310"/>
      <c r="I14" s="310"/>
      <c r="J14" s="310"/>
      <c r="K14" s="310"/>
      <c r="L14" s="165">
        <f>'БН присмотр 2023'!C6</f>
        <v>695.3599999999999</v>
      </c>
      <c r="M14" s="155">
        <f t="shared" si="0"/>
        <v>30857.56</v>
      </c>
    </row>
    <row r="15" spans="1:13" ht="42.75" customHeight="1" x14ac:dyDescent="0.2">
      <c r="A15" s="156" t="str">
        <f>'БН присмотр 2023'!A7</f>
        <v>Присмотр и уход Дети-инвалиды От 1 лет до 3 лет группа полного дня</v>
      </c>
      <c r="B15" s="469" t="s">
        <v>666</v>
      </c>
      <c r="C15" s="310"/>
      <c r="D15" s="155">
        <f>'БН присмотр 2023'!B7</f>
        <v>30162.2</v>
      </c>
      <c r="E15" s="317"/>
      <c r="F15" s="310"/>
      <c r="G15" s="310"/>
      <c r="H15" s="310"/>
      <c r="I15" s="310"/>
      <c r="J15" s="310"/>
      <c r="K15" s="310"/>
      <c r="L15" s="165">
        <f>'БН присмотр 2023'!C7</f>
        <v>695.3599999999999</v>
      </c>
      <c r="M15" s="155">
        <f t="shared" ref="M15" si="1">SUM(C15:L15)</f>
        <v>30857.56</v>
      </c>
    </row>
    <row r="16" spans="1:13" ht="42.75" customHeight="1" x14ac:dyDescent="0.2">
      <c r="A16" s="156" t="e">
        <f>'БН присмотр 2023'!A8</f>
        <v>#REF!</v>
      </c>
      <c r="B16" s="473" t="s">
        <v>356</v>
      </c>
      <c r="C16" s="310"/>
      <c r="D16" s="155">
        <f>'БН присмотр 2023'!B8</f>
        <v>35596.199999999997</v>
      </c>
      <c r="E16" s="290"/>
      <c r="F16" s="310"/>
      <c r="G16" s="310"/>
      <c r="H16" s="310"/>
      <c r="I16" s="310"/>
      <c r="J16" s="310"/>
      <c r="K16" s="310"/>
      <c r="L16" s="165">
        <f>'БН присмотр 2023'!C8</f>
        <v>534.89</v>
      </c>
      <c r="M16" s="155">
        <f t="shared" si="0"/>
        <v>36131.089999999997</v>
      </c>
    </row>
    <row r="17" spans="1:13" ht="44.25" customHeight="1" x14ac:dyDescent="0.2">
      <c r="A17" s="156" t="str">
        <f>'БН присмотр 2023'!A9</f>
        <v>Присмотр и уход Дети с туберкулезной интоксикацией От 3 лет до 8 лет группа полного дня</v>
      </c>
      <c r="B17" s="469" t="s">
        <v>352</v>
      </c>
      <c r="C17" s="310"/>
      <c r="D17" s="155">
        <f>'БН присмотр 2023'!B9</f>
        <v>35596.199999999997</v>
      </c>
      <c r="E17" s="290"/>
      <c r="F17" s="310"/>
      <c r="G17" s="310"/>
      <c r="H17" s="310"/>
      <c r="I17" s="310"/>
      <c r="J17" s="310"/>
      <c r="K17" s="310"/>
      <c r="L17" s="165">
        <f>'БН присмотр 2023'!C9</f>
        <v>534.89</v>
      </c>
      <c r="M17" s="155">
        <f t="shared" si="0"/>
        <v>36131.089999999997</v>
      </c>
    </row>
    <row r="18" spans="1:13" ht="40.5" customHeight="1" x14ac:dyDescent="0.2">
      <c r="A18" s="156" t="str">
        <f>'БН присмотр 2023'!A10</f>
        <v>Присмотр и уход Дети-сироты и дети, оставшиеся без попечения родителей От 3 лет до 8 лет группа полного дня</v>
      </c>
      <c r="B18" s="469" t="s">
        <v>350</v>
      </c>
      <c r="C18" s="310"/>
      <c r="D18" s="155">
        <f>'БН присмотр 2023'!B10</f>
        <v>35596.199999999997</v>
      </c>
      <c r="E18" s="290"/>
      <c r="F18" s="310"/>
      <c r="G18" s="310"/>
      <c r="H18" s="310"/>
      <c r="I18" s="310"/>
      <c r="J18" s="310"/>
      <c r="K18" s="310"/>
      <c r="L18" s="165">
        <f>'БН присмотр 2023'!C10</f>
        <v>534.89</v>
      </c>
      <c r="M18" s="155">
        <f t="shared" si="0"/>
        <v>36131.089999999997</v>
      </c>
    </row>
    <row r="19" spans="1:13" s="311" customFormat="1" ht="39" customHeight="1" x14ac:dyDescent="0.2">
      <c r="A19" s="156" t="str">
        <f>'БН присмотр 2023'!A11</f>
        <v>Присмотр и уход Дети-инвалиды От 3 лет до 8 лет группа полного дня</v>
      </c>
      <c r="B19" s="469" t="s">
        <v>351</v>
      </c>
      <c r="C19" s="310"/>
      <c r="D19" s="155">
        <f>'БН присмотр 2023'!B11</f>
        <v>35596.199999999997</v>
      </c>
      <c r="E19" s="310"/>
      <c r="F19" s="310"/>
      <c r="G19" s="310"/>
      <c r="H19" s="310"/>
      <c r="I19" s="310"/>
      <c r="J19" s="310"/>
      <c r="K19" s="310"/>
      <c r="L19" s="165">
        <f>'БН присмотр 2023'!C11</f>
        <v>534.89</v>
      </c>
      <c r="M19" s="155">
        <f>SUM(C19:L19)</f>
        <v>36131.089999999997</v>
      </c>
    </row>
    <row r="20" spans="1:13" s="311" customFormat="1" ht="43.5" customHeight="1" x14ac:dyDescent="0.2">
      <c r="A20" s="156" t="str">
        <f>'БН присмотр 2023'!A12</f>
        <v>Присмотр и уход Физические лица за исключением льготных категорий От 3 лет до 8 лет группа полного дня</v>
      </c>
      <c r="B20" s="469" t="s">
        <v>348</v>
      </c>
      <c r="C20" s="310"/>
      <c r="D20" s="155">
        <f>'БН присмотр 2023'!B12</f>
        <v>35596.199999999997</v>
      </c>
      <c r="E20" s="310"/>
      <c r="F20" s="310"/>
      <c r="G20" s="310"/>
      <c r="H20" s="310"/>
      <c r="I20" s="310"/>
      <c r="J20" s="310"/>
      <c r="K20" s="310"/>
      <c r="L20" s="165">
        <f>'БН присмотр 2023'!C12</f>
        <v>534.89</v>
      </c>
      <c r="M20" s="155">
        <f>SUM(C20:L20)</f>
        <v>36131.089999999997</v>
      </c>
    </row>
    <row r="21" spans="1:13" s="311" customFormat="1" x14ac:dyDescent="0.2">
      <c r="A21" s="157"/>
    </row>
    <row r="22" spans="1:13" s="311" customFormat="1" x14ac:dyDescent="0.2">
      <c r="A22" s="157"/>
    </row>
    <row r="23" spans="1:13" s="311" customFormat="1" x14ac:dyDescent="0.2">
      <c r="A23" s="157"/>
    </row>
    <row r="24" spans="1:13" s="311" customFormat="1" x14ac:dyDescent="0.2">
      <c r="A24" s="157"/>
    </row>
    <row r="25" spans="1:13" s="311" customFormat="1" x14ac:dyDescent="0.2">
      <c r="A25" s="157"/>
    </row>
    <row r="26" spans="1:13" s="311" customFormat="1" x14ac:dyDescent="0.2">
      <c r="A26" s="157"/>
    </row>
    <row r="27" spans="1:13" s="311" customFormat="1" x14ac:dyDescent="0.2">
      <c r="A27" s="157"/>
    </row>
    <row r="28" spans="1:13" s="311" customFormat="1" x14ac:dyDescent="0.2">
      <c r="A28" s="157"/>
    </row>
    <row r="29" spans="1:13" s="311" customFormat="1" x14ac:dyDescent="0.2">
      <c r="A29" s="157"/>
    </row>
    <row r="30" spans="1:13" s="311" customFormat="1" x14ac:dyDescent="0.2">
      <c r="A30" s="157"/>
    </row>
    <row r="31" spans="1:13" s="311" customFormat="1" x14ac:dyDescent="0.2">
      <c r="A31" s="157"/>
    </row>
    <row r="32" spans="1:13" s="311" customFormat="1" x14ac:dyDescent="0.2">
      <c r="A32" s="157"/>
    </row>
    <row r="33" spans="1:1" s="311" customFormat="1" x14ac:dyDescent="0.2">
      <c r="A33" s="157"/>
    </row>
    <row r="34" spans="1:1" s="311" customFormat="1" x14ac:dyDescent="0.2">
      <c r="A34" s="157"/>
    </row>
    <row r="35" spans="1:1" s="311" customFormat="1" x14ac:dyDescent="0.2">
      <c r="A35" s="157"/>
    </row>
    <row r="36" spans="1:1" s="311" customFormat="1" x14ac:dyDescent="0.2">
      <c r="A36" s="157"/>
    </row>
    <row r="37" spans="1:1" s="311" customFormat="1" x14ac:dyDescent="0.2">
      <c r="A37" s="157"/>
    </row>
    <row r="38" spans="1:1" s="311" customFormat="1" x14ac:dyDescent="0.2">
      <c r="A38" s="157"/>
    </row>
    <row r="39" spans="1:1" s="311" customFormat="1" x14ac:dyDescent="0.2">
      <c r="A39" s="157"/>
    </row>
    <row r="40" spans="1:1" s="311" customFormat="1" x14ac:dyDescent="0.2">
      <c r="A40" s="157"/>
    </row>
    <row r="41" spans="1:1" s="311" customFormat="1" x14ac:dyDescent="0.2">
      <c r="A41" s="157"/>
    </row>
    <row r="42" spans="1:1" s="311" customFormat="1" x14ac:dyDescent="0.2">
      <c r="A42" s="157"/>
    </row>
    <row r="43" spans="1:1" s="311" customFormat="1" x14ac:dyDescent="0.2">
      <c r="A43" s="157"/>
    </row>
    <row r="44" spans="1:1" s="311" customFormat="1" x14ac:dyDescent="0.2">
      <c r="A44" s="157"/>
    </row>
    <row r="45" spans="1:1" s="311" customFormat="1" x14ac:dyDescent="0.2">
      <c r="A45" s="157"/>
    </row>
    <row r="46" spans="1:1" s="311" customFormat="1" x14ac:dyDescent="0.2">
      <c r="A46" s="157"/>
    </row>
    <row r="47" spans="1:1" s="311" customFormat="1" x14ac:dyDescent="0.2">
      <c r="A47" s="157"/>
    </row>
    <row r="48" spans="1:1" s="311" customFormat="1" x14ac:dyDescent="0.2">
      <c r="A48" s="157"/>
    </row>
    <row r="49" spans="1:1" s="311" customFormat="1" x14ac:dyDescent="0.2">
      <c r="A49" s="157"/>
    </row>
    <row r="50" spans="1:1" s="311" customFormat="1" x14ac:dyDescent="0.2">
      <c r="A50" s="157"/>
    </row>
    <row r="51" spans="1:1" s="311" customFormat="1" x14ac:dyDescent="0.2">
      <c r="A51" s="157"/>
    </row>
    <row r="52" spans="1:1" s="311" customFormat="1" x14ac:dyDescent="0.2">
      <c r="A52" s="157"/>
    </row>
    <row r="53" spans="1:1" s="311" customFormat="1" x14ac:dyDescent="0.2">
      <c r="A53" s="157"/>
    </row>
    <row r="54" spans="1:1" s="311" customFormat="1" x14ac:dyDescent="0.2">
      <c r="A54" s="157"/>
    </row>
    <row r="55" spans="1:1" s="311" customFormat="1" x14ac:dyDescent="0.2">
      <c r="A55" s="157"/>
    </row>
    <row r="56" spans="1:1" s="311" customFormat="1" x14ac:dyDescent="0.2">
      <c r="A56" s="157"/>
    </row>
    <row r="57" spans="1:1" s="311" customFormat="1" x14ac:dyDescent="0.2">
      <c r="A57" s="157"/>
    </row>
    <row r="58" spans="1:1" s="311" customFormat="1" x14ac:dyDescent="0.2">
      <c r="A58" s="157"/>
    </row>
    <row r="59" spans="1:1" s="311" customFormat="1" x14ac:dyDescent="0.2">
      <c r="A59" s="157"/>
    </row>
    <row r="60" spans="1:1" s="311" customFormat="1" x14ac:dyDescent="0.2">
      <c r="A60" s="157"/>
    </row>
    <row r="61" spans="1:1" s="311" customFormat="1" x14ac:dyDescent="0.2">
      <c r="A61" s="157"/>
    </row>
    <row r="62" spans="1:1" s="311" customFormat="1" x14ac:dyDescent="0.2">
      <c r="A62" s="157"/>
    </row>
    <row r="63" spans="1:1" s="311" customFormat="1" x14ac:dyDescent="0.2">
      <c r="A63" s="157"/>
    </row>
    <row r="64" spans="1:1" s="311" customFormat="1" x14ac:dyDescent="0.2">
      <c r="A64" s="157"/>
    </row>
    <row r="65" spans="1:1" s="311" customFormat="1" x14ac:dyDescent="0.2">
      <c r="A65" s="157"/>
    </row>
    <row r="66" spans="1:1" s="311" customFormat="1" x14ac:dyDescent="0.2">
      <c r="A66" s="157"/>
    </row>
    <row r="67" spans="1:1" s="311" customFormat="1" x14ac:dyDescent="0.2">
      <c r="A67" s="157"/>
    </row>
    <row r="68" spans="1:1" s="311" customFormat="1" x14ac:dyDescent="0.2">
      <c r="A68" s="157"/>
    </row>
    <row r="69" spans="1:1" s="311" customFormat="1" x14ac:dyDescent="0.2">
      <c r="A69" s="157"/>
    </row>
    <row r="70" spans="1:1" s="311" customFormat="1" x14ac:dyDescent="0.2">
      <c r="A70" s="157"/>
    </row>
    <row r="71" spans="1:1" s="311" customFormat="1" x14ac:dyDescent="0.2">
      <c r="A71" s="157"/>
    </row>
    <row r="72" spans="1:1" s="311" customFormat="1" x14ac:dyDescent="0.2">
      <c r="A72" s="157"/>
    </row>
    <row r="73" spans="1:1" s="311" customFormat="1" x14ac:dyDescent="0.2">
      <c r="A73" s="157"/>
    </row>
    <row r="74" spans="1:1" s="311" customFormat="1" x14ac:dyDescent="0.2">
      <c r="A74" s="157"/>
    </row>
    <row r="75" spans="1:1" s="311" customFormat="1" x14ac:dyDescent="0.2">
      <c r="A75" s="157"/>
    </row>
    <row r="76" spans="1:1" s="311" customFormat="1" x14ac:dyDescent="0.2">
      <c r="A76" s="157"/>
    </row>
    <row r="77" spans="1:1" s="311" customFormat="1" x14ac:dyDescent="0.2">
      <c r="A77" s="157"/>
    </row>
    <row r="78" spans="1:1" s="311" customFormat="1" x14ac:dyDescent="0.2">
      <c r="A78" s="157"/>
    </row>
    <row r="79" spans="1:1" s="311" customFormat="1" x14ac:dyDescent="0.2">
      <c r="A79" s="157"/>
    </row>
    <row r="80" spans="1:1" s="311" customFormat="1" x14ac:dyDescent="0.2">
      <c r="A80" s="157"/>
    </row>
    <row r="81" spans="1:1" s="311" customFormat="1" x14ac:dyDescent="0.2">
      <c r="A81" s="157"/>
    </row>
    <row r="82" spans="1:1" s="311" customFormat="1" x14ac:dyDescent="0.2">
      <c r="A82" s="157"/>
    </row>
    <row r="83" spans="1:1" s="311" customFormat="1" x14ac:dyDescent="0.2">
      <c r="A83" s="157"/>
    </row>
    <row r="84" spans="1:1" s="311" customFormat="1" x14ac:dyDescent="0.2">
      <c r="A84" s="157"/>
    </row>
    <row r="85" spans="1:1" s="311" customFormat="1" x14ac:dyDescent="0.2">
      <c r="A85" s="157"/>
    </row>
    <row r="86" spans="1:1" s="311" customFormat="1" x14ac:dyDescent="0.2">
      <c r="A86" s="157"/>
    </row>
    <row r="87" spans="1:1" s="311" customFormat="1" x14ac:dyDescent="0.2">
      <c r="A87" s="157"/>
    </row>
    <row r="88" spans="1:1" s="311" customFormat="1" x14ac:dyDescent="0.2">
      <c r="A88" s="157"/>
    </row>
    <row r="89" spans="1:1" s="311" customFormat="1" x14ac:dyDescent="0.2">
      <c r="A89" s="157"/>
    </row>
    <row r="90" spans="1:1" s="311" customFormat="1" x14ac:dyDescent="0.2">
      <c r="A90" s="157"/>
    </row>
    <row r="91" spans="1:1" s="311" customFormat="1" x14ac:dyDescent="0.2">
      <c r="A91" s="157"/>
    </row>
    <row r="92" spans="1:1" s="311" customFormat="1" x14ac:dyDescent="0.2">
      <c r="A92" s="157"/>
    </row>
    <row r="93" spans="1:1" s="311" customFormat="1" x14ac:dyDescent="0.2">
      <c r="A93" s="157"/>
    </row>
    <row r="94" spans="1:1" s="311" customFormat="1" x14ac:dyDescent="0.2">
      <c r="A94" s="157"/>
    </row>
    <row r="95" spans="1:1" s="311" customFormat="1" x14ac:dyDescent="0.2">
      <c r="A95" s="157"/>
    </row>
    <row r="96" spans="1:1" s="311" customFormat="1" x14ac:dyDescent="0.2">
      <c r="A96" s="157"/>
    </row>
    <row r="97" spans="1:1" s="311" customFormat="1" x14ac:dyDescent="0.2">
      <c r="A97" s="157"/>
    </row>
    <row r="98" spans="1:1" s="311" customFormat="1" x14ac:dyDescent="0.2">
      <c r="A98" s="157"/>
    </row>
    <row r="99" spans="1:1" s="311" customFormat="1" x14ac:dyDescent="0.2">
      <c r="A99" s="157"/>
    </row>
  </sheetData>
  <mergeCells count="7">
    <mergeCell ref="A1:M1"/>
    <mergeCell ref="A2:M2"/>
    <mergeCell ref="A3:A5"/>
    <mergeCell ref="B3:B5"/>
    <mergeCell ref="C3:E4"/>
    <mergeCell ref="F3:L4"/>
    <mergeCell ref="M3:M5"/>
  </mergeCells>
  <pageMargins left="0.7" right="0.7" top="0.75" bottom="0.75" header="0.3" footer="0.3"/>
  <pageSetup paperSize="9" scale="48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pageSetUpPr fitToPage="1"/>
  </sheetPr>
  <dimension ref="A1:T15"/>
  <sheetViews>
    <sheetView zoomScale="110" zoomScaleNormal="110" workbookViewId="0">
      <pane xSplit="1" ySplit="4" topLeftCell="E5" activePane="bottomRight" state="frozen"/>
      <selection activeCell="AE14" sqref="AE14"/>
      <selection pane="topRight" activeCell="AE14" sqref="AE14"/>
      <selection pane="bottomLeft" activeCell="AE14" sqref="AE14"/>
      <selection pane="bottomRight" activeCell="AE14" sqref="AE14"/>
    </sheetView>
  </sheetViews>
  <sheetFormatPr defaultColWidth="9.140625" defaultRowHeight="12.75" x14ac:dyDescent="0.2"/>
  <cols>
    <col min="1" max="1" width="51" style="170" customWidth="1"/>
    <col min="2" max="2" width="8.85546875" style="170" customWidth="1"/>
    <col min="3" max="3" width="8.42578125" style="170" customWidth="1"/>
    <col min="4" max="4" width="14.85546875" style="170" customWidth="1"/>
    <col min="5" max="5" width="8.7109375" style="170" customWidth="1"/>
    <col min="6" max="6" width="8" style="170" customWidth="1"/>
    <col min="7" max="7" width="15.42578125" style="170" customWidth="1"/>
    <col min="8" max="8" width="10.7109375" style="170" customWidth="1"/>
    <col min="9" max="9" width="12.7109375" style="170" customWidth="1"/>
    <col min="10" max="10" width="16" style="170" customWidth="1"/>
    <col min="11" max="12" width="10.42578125" style="170" customWidth="1"/>
    <col min="13" max="13" width="20.7109375" style="170" customWidth="1"/>
    <col min="14" max="14" width="12.7109375" style="170" customWidth="1"/>
    <col min="15" max="15" width="12.85546875" style="170" customWidth="1"/>
    <col min="16" max="16" width="13.42578125" style="170" customWidth="1"/>
    <col min="17" max="17" width="12.42578125" style="170" customWidth="1"/>
    <col min="18" max="16384" width="9.140625" style="170"/>
  </cols>
  <sheetData>
    <row r="1" spans="1:20" x14ac:dyDescent="0.2">
      <c r="A1" s="1257" t="s">
        <v>315</v>
      </c>
      <c r="B1" s="1257"/>
      <c r="C1" s="1257"/>
      <c r="D1" s="1257"/>
      <c r="E1" s="1257"/>
      <c r="F1" s="1257"/>
      <c r="G1" s="1257"/>
      <c r="H1" s="1257"/>
      <c r="I1" s="1257"/>
      <c r="J1" s="1257"/>
      <c r="K1" s="1257"/>
      <c r="L1" s="1257"/>
      <c r="M1" s="1257"/>
      <c r="N1" s="1257"/>
    </row>
    <row r="2" spans="1:20" x14ac:dyDescent="0.2">
      <c r="A2" s="238"/>
      <c r="B2" s="238"/>
      <c r="C2" s="238"/>
      <c r="D2" s="238"/>
      <c r="E2" s="238"/>
      <c r="F2" s="238"/>
      <c r="G2" s="238"/>
    </row>
    <row r="3" spans="1:20" ht="55.5" customHeight="1" x14ac:dyDescent="0.2">
      <c r="A3" s="1258" t="str">
        <f>Подписка!A7</f>
        <v>Наименование организации</v>
      </c>
      <c r="B3" s="1210" t="s">
        <v>232</v>
      </c>
      <c r="C3" s="1216"/>
      <c r="D3" s="1211"/>
      <c r="E3" s="1210" t="str">
        <f>'Исходные данные'!P2</f>
        <v xml:space="preserve">Нормативная численность обучающихся </v>
      </c>
      <c r="F3" s="1216"/>
      <c r="G3" s="1211"/>
      <c r="H3" s="1210" t="s">
        <v>251</v>
      </c>
      <c r="I3" s="1216"/>
      <c r="J3" s="1211"/>
      <c r="K3" s="1221" t="s">
        <v>231</v>
      </c>
      <c r="L3" s="1221"/>
      <c r="M3" s="1221"/>
      <c r="N3" s="1221"/>
      <c r="O3" s="1255" t="s">
        <v>647</v>
      </c>
      <c r="P3" s="1221" t="s">
        <v>648</v>
      </c>
      <c r="Q3" s="1221" t="s">
        <v>313</v>
      </c>
    </row>
    <row r="4" spans="1:20" ht="69" customHeight="1" x14ac:dyDescent="0.2">
      <c r="A4" s="1259"/>
      <c r="B4" s="365" t="str">
        <f>Питание!C4</f>
        <v>от 1 года до 3 лет</v>
      </c>
      <c r="C4" s="365" t="str">
        <f>Питание!D4</f>
        <v>от 3 лет до 8 лет</v>
      </c>
      <c r="D4" s="365" t="s">
        <v>312</v>
      </c>
      <c r="E4" s="365" t="str">
        <f>'Исходные данные'!P3</f>
        <v>От 1 года до 3 лет</v>
      </c>
      <c r="F4" s="365" t="str">
        <f>'Исходные данные'!Q3</f>
        <v>От 3 лет до 8 лет</v>
      </c>
      <c r="G4" s="365" t="s">
        <v>312</v>
      </c>
      <c r="H4" s="365" t="str">
        <f>E4</f>
        <v>От 1 года до 3 лет</v>
      </c>
      <c r="I4" s="368" t="str">
        <f>F4</f>
        <v>От 3 лет до 8 лет</v>
      </c>
      <c r="J4" s="368" t="str">
        <f>G4</f>
        <v>от 3 лет до 8 лет компенсирующей направленности</v>
      </c>
      <c r="K4" s="363" t="s">
        <v>319</v>
      </c>
      <c r="L4" s="363" t="s">
        <v>320</v>
      </c>
      <c r="M4" s="364" t="s">
        <v>233</v>
      </c>
      <c r="N4" s="364" t="s">
        <v>237</v>
      </c>
      <c r="O4" s="1221"/>
      <c r="P4" s="1221"/>
      <c r="Q4" s="1221"/>
    </row>
    <row r="5" spans="1:20" x14ac:dyDescent="0.2">
      <c r="A5" s="470" t="str">
        <f>Подписка!A8</f>
        <v>МАДОУ ЦРР-детский сад № 2</v>
      </c>
      <c r="B5" s="281">
        <f>Численность!B6+Численность!G6</f>
        <v>100</v>
      </c>
      <c r="C5" s="281">
        <f>Численность!C6+Численность!H6</f>
        <v>385</v>
      </c>
      <c r="D5" s="352">
        <f>Численность!I6</f>
        <v>0</v>
      </c>
      <c r="E5" s="321">
        <f>'Исходные данные'!P4</f>
        <v>56</v>
      </c>
      <c r="F5" s="347">
        <f>'Исходные данные'!Q4</f>
        <v>450</v>
      </c>
      <c r="G5" s="347">
        <f>'Исходные данные'!R4</f>
        <v>0</v>
      </c>
      <c r="H5" s="313">
        <v>1</v>
      </c>
      <c r="I5" s="313">
        <v>1</v>
      </c>
      <c r="J5" s="313">
        <v>1.7330000000000001</v>
      </c>
      <c r="K5" s="289">
        <f>'Общий 2021'!$M$7</f>
        <v>10244.650000000001</v>
      </c>
      <c r="L5" s="289">
        <f>'Общий 2021'!$M$8</f>
        <v>10152.960000000001</v>
      </c>
      <c r="M5" s="289">
        <f>ОХ2021!AE5</f>
        <v>5059107.6989599988</v>
      </c>
      <c r="N5" s="313">
        <f>ROUND(M5/ROUND((B5*H5*K5)+(C5*I5*L5)+(D5*J5*L5),2),3)</f>
        <v>1.0249999999999999</v>
      </c>
      <c r="O5" s="289"/>
      <c r="P5" s="289"/>
      <c r="Q5" s="356"/>
      <c r="S5" s="186">
        <f>K5-'Общий 2021'!M7</f>
        <v>0</v>
      </c>
      <c r="T5" s="186">
        <f>L5-'Общий 2021'!O8</f>
        <v>0</v>
      </c>
    </row>
    <row r="6" spans="1:20" x14ac:dyDescent="0.2">
      <c r="A6" s="470" t="str">
        <f>Подписка!A9</f>
        <v>МАДОУ ЦРР-детский сад № 11</v>
      </c>
      <c r="B6" s="281">
        <f>Численность!B7+Численность!G7</f>
        <v>95</v>
      </c>
      <c r="C6" s="281">
        <f>Численность!C7+Численность!H7</f>
        <v>462</v>
      </c>
      <c r="D6" s="352">
        <f>Численность!I7</f>
        <v>20</v>
      </c>
      <c r="E6" s="347">
        <f>'Исходные данные'!P5</f>
        <v>135</v>
      </c>
      <c r="F6" s="347">
        <f>'Исходные данные'!Q5</f>
        <v>424</v>
      </c>
      <c r="G6" s="347">
        <f>'Исходные данные'!R5</f>
        <v>0</v>
      </c>
      <c r="H6" s="313">
        <v>1</v>
      </c>
      <c r="I6" s="313">
        <v>1</v>
      </c>
      <c r="J6" s="313">
        <v>1.7330000000000001</v>
      </c>
      <c r="K6" s="289">
        <f>'Общий 2021'!$M$7</f>
        <v>10244.650000000001</v>
      </c>
      <c r="L6" s="289">
        <f>'Общий 2021'!$M$8</f>
        <v>10152.960000000001</v>
      </c>
      <c r="M6" s="289">
        <f>ОХ2021!AE6</f>
        <v>5642785.4364</v>
      </c>
      <c r="N6" s="313">
        <f>ROUND(M6/ROUND((B6*H6*K6)+(C6*I6*L6)+(D6*J6*L6),2),3)</f>
        <v>0.93799999999999994</v>
      </c>
      <c r="O6" s="289"/>
      <c r="P6" s="289"/>
      <c r="Q6" s="356"/>
    </row>
    <row r="7" spans="1:20" x14ac:dyDescent="0.2">
      <c r="A7" s="470" t="str">
        <f>Подписка!A10</f>
        <v>МАДОУ ЦРР-детский сад № 13</v>
      </c>
      <c r="B7" s="281">
        <f>Численность!B8+Численность!G8</f>
        <v>107</v>
      </c>
      <c r="C7" s="281">
        <f>Численность!C8+Численность!H8</f>
        <v>470</v>
      </c>
      <c r="D7" s="352">
        <f>Численность!I8</f>
        <v>86</v>
      </c>
      <c r="E7" s="347">
        <f>'Исходные данные'!P6</f>
        <v>133</v>
      </c>
      <c r="F7" s="347">
        <f>'Исходные данные'!Q6</f>
        <v>500</v>
      </c>
      <c r="G7" s="347">
        <f>'Исходные данные'!R6</f>
        <v>0</v>
      </c>
      <c r="H7" s="313">
        <v>1</v>
      </c>
      <c r="I7" s="313">
        <v>1</v>
      </c>
      <c r="J7" s="313">
        <v>1.7330000000000001</v>
      </c>
      <c r="K7" s="289">
        <f>'Общий 2021'!$M$7</f>
        <v>10244.650000000001</v>
      </c>
      <c r="L7" s="289">
        <f>'Общий 2021'!$M$8</f>
        <v>10152.960000000001</v>
      </c>
      <c r="M7" s="289">
        <f>ОХ2021!AE7</f>
        <v>7117619.3792000003</v>
      </c>
      <c r="N7" s="313">
        <f t="shared" ref="N7:N13" si="0">ROUND(M7/ROUND((B7*H7*K7)+(C7*I7*L7)+(D7*J7*L7),2),3)</f>
        <v>0.96399999999999997</v>
      </c>
      <c r="O7" s="796">
        <v>10684571.73</v>
      </c>
      <c r="P7" s="796">
        <v>10254.17</v>
      </c>
      <c r="Q7" s="550">
        <f>ROUND(P7/(O7+P7),3)</f>
        <v>1E-3</v>
      </c>
    </row>
    <row r="8" spans="1:20" x14ac:dyDescent="0.2">
      <c r="A8" s="470" t="str">
        <f>Подписка!A11</f>
        <v>МАОУ СОШ № 1 структурное подразделение</v>
      </c>
      <c r="B8" s="281">
        <f>Численность!B9+Численность!G9</f>
        <v>64</v>
      </c>
      <c r="C8" s="281">
        <f>Численность!C9+Численность!H9</f>
        <v>350</v>
      </c>
      <c r="D8" s="352">
        <f>Численность!I9</f>
        <v>0</v>
      </c>
      <c r="E8" s="347">
        <f>'Исходные данные'!P7</f>
        <v>57</v>
      </c>
      <c r="F8" s="347">
        <f>'Исходные данные'!Q7</f>
        <v>324</v>
      </c>
      <c r="G8" s="347">
        <f>'Исходные данные'!R7</f>
        <v>0</v>
      </c>
      <c r="H8" s="313">
        <v>1</v>
      </c>
      <c r="I8" s="313">
        <v>1</v>
      </c>
      <c r="J8" s="313">
        <v>1.7330000000000001</v>
      </c>
      <c r="K8" s="289">
        <f>'Общий 2021'!$M$7</f>
        <v>10244.650000000001</v>
      </c>
      <c r="L8" s="289">
        <f>'Общий 2021'!$M$8</f>
        <v>10152.960000000001</v>
      </c>
      <c r="M8" s="289">
        <f>ОХ2021!AE8</f>
        <v>3735979.3137600003</v>
      </c>
      <c r="N8" s="313">
        <f t="shared" si="0"/>
        <v>0.88800000000000001</v>
      </c>
      <c r="O8" s="289"/>
      <c r="P8" s="289"/>
      <c r="Q8" s="356"/>
    </row>
    <row r="9" spans="1:20" ht="25.5" x14ac:dyDescent="0.2">
      <c r="A9" s="470" t="str">
        <f>Подписка!A12</f>
        <v>МАОУ СОШ № 2 им.М.И.Грибушина структурное подразделение</v>
      </c>
      <c r="B9" s="281">
        <f>Численность!B10+Численность!G10</f>
        <v>56</v>
      </c>
      <c r="C9" s="281">
        <f>Численность!C10+Численность!H10</f>
        <v>239</v>
      </c>
      <c r="D9" s="352">
        <f>Численность!I10</f>
        <v>0</v>
      </c>
      <c r="E9" s="347">
        <f>'Исходные данные'!P8</f>
        <v>48</v>
      </c>
      <c r="F9" s="347">
        <f>'Исходные данные'!Q8</f>
        <v>240</v>
      </c>
      <c r="G9" s="347">
        <f>'Исходные данные'!R8</f>
        <v>0</v>
      </c>
      <c r="H9" s="313">
        <v>1</v>
      </c>
      <c r="I9" s="313">
        <v>1</v>
      </c>
      <c r="J9" s="313">
        <v>1.7330000000000001</v>
      </c>
      <c r="K9" s="289">
        <f>'Общий 2021'!$M$7</f>
        <v>10244.650000000001</v>
      </c>
      <c r="L9" s="289">
        <f>'Общий 2021'!$M$8</f>
        <v>10152.960000000001</v>
      </c>
      <c r="M9" s="289">
        <f>ОХ2021!AE9</f>
        <v>3035941.3887999998</v>
      </c>
      <c r="N9" s="313">
        <f t="shared" si="0"/>
        <v>1.012</v>
      </c>
      <c r="O9" s="289"/>
      <c r="P9" s="289"/>
      <c r="Q9" s="356"/>
    </row>
    <row r="10" spans="1:20" x14ac:dyDescent="0.2">
      <c r="A10" s="470" t="str">
        <f>Подписка!A13</f>
        <v>МАОУ СОШ № 10 структурное подразделение</v>
      </c>
      <c r="B10" s="281">
        <f>Численность!B11+Численность!G11</f>
        <v>25</v>
      </c>
      <c r="C10" s="281">
        <f>Численность!C11+Численность!H11</f>
        <v>218</v>
      </c>
      <c r="D10" s="352">
        <f>Численность!I11</f>
        <v>0</v>
      </c>
      <c r="E10" s="347">
        <f>'Исходные данные'!P9</f>
        <v>22</v>
      </c>
      <c r="F10" s="347">
        <f>'Исходные данные'!Q9</f>
        <v>240</v>
      </c>
      <c r="G10" s="347">
        <f>'Исходные данные'!R9</f>
        <v>0</v>
      </c>
      <c r="H10" s="313">
        <v>1</v>
      </c>
      <c r="I10" s="313">
        <v>1</v>
      </c>
      <c r="J10" s="313">
        <v>1.7330000000000001</v>
      </c>
      <c r="K10" s="289">
        <f>'Общий 2021'!$M$7</f>
        <v>10244.650000000001</v>
      </c>
      <c r="L10" s="289">
        <f>'Общий 2021'!$M$8</f>
        <v>10152.960000000001</v>
      </c>
      <c r="M10" s="289">
        <f>ОХ2021!AE10</f>
        <v>2047097.78296</v>
      </c>
      <c r="N10" s="313">
        <f t="shared" si="0"/>
        <v>0.82899999999999996</v>
      </c>
      <c r="O10" s="289"/>
      <c r="P10" s="289"/>
      <c r="Q10" s="356"/>
    </row>
    <row r="11" spans="1:20" x14ac:dyDescent="0.2">
      <c r="A11" s="470" t="str">
        <f>Подписка!A14</f>
        <v>МАОУ СОШ № 13 структурное подразделение</v>
      </c>
      <c r="B11" s="281">
        <f>Численность!B12+Численность!G12</f>
        <v>35</v>
      </c>
      <c r="C11" s="281">
        <f>Численность!C12+Численность!H12</f>
        <v>135</v>
      </c>
      <c r="D11" s="352">
        <f>Численность!I12</f>
        <v>0</v>
      </c>
      <c r="E11" s="347">
        <f>'Исходные данные'!P10</f>
        <v>41</v>
      </c>
      <c r="F11" s="347">
        <f>'Исходные данные'!Q10</f>
        <v>183</v>
      </c>
      <c r="G11" s="347">
        <f>'Исходные данные'!R10</f>
        <v>0</v>
      </c>
      <c r="H11" s="313">
        <v>1</v>
      </c>
      <c r="I11" s="313">
        <v>1</v>
      </c>
      <c r="J11" s="313">
        <v>1.7330000000000001</v>
      </c>
      <c r="K11" s="289">
        <f>'Общий 2021'!$M$7</f>
        <v>10244.650000000001</v>
      </c>
      <c r="L11" s="289">
        <f>'Общий 2021'!$M$8</f>
        <v>10152.960000000001</v>
      </c>
      <c r="M11" s="289">
        <f>ОХ2021!AE11</f>
        <v>2220715.5631999997</v>
      </c>
      <c r="N11" s="313">
        <f t="shared" si="0"/>
        <v>1.284</v>
      </c>
      <c r="O11" s="289"/>
      <c r="P11" s="289"/>
      <c r="Q11" s="356"/>
    </row>
    <row r="12" spans="1:20" x14ac:dyDescent="0.2">
      <c r="A12" s="470" t="str">
        <f>Подписка!A15</f>
        <v>Гимназия № 16 структурное подразделение</v>
      </c>
      <c r="B12" s="281">
        <f>Численность!B13+Численность!G13</f>
        <v>50</v>
      </c>
      <c r="C12" s="281">
        <f>Численность!C13+Численность!H13</f>
        <v>311</v>
      </c>
      <c r="D12" s="352">
        <f>Численность!I13</f>
        <v>0</v>
      </c>
      <c r="E12" s="347">
        <f>'Исходные данные'!P11</f>
        <v>122</v>
      </c>
      <c r="F12" s="347">
        <f>'Исходные данные'!Q11</f>
        <v>334</v>
      </c>
      <c r="G12" s="347">
        <f>'Исходные данные'!R11</f>
        <v>0</v>
      </c>
      <c r="H12" s="313">
        <v>1</v>
      </c>
      <c r="I12" s="313">
        <v>1</v>
      </c>
      <c r="J12" s="313">
        <v>1.7330000000000001</v>
      </c>
      <c r="K12" s="289">
        <f>'Общий 2021'!$M$7</f>
        <v>10244.650000000001</v>
      </c>
      <c r="L12" s="289">
        <f>'Общий 2021'!$M$8</f>
        <v>10152.960000000001</v>
      </c>
      <c r="M12" s="289">
        <f>ОХ2021!AE12</f>
        <v>4510623.5297599994</v>
      </c>
      <c r="N12" s="313">
        <f t="shared" si="0"/>
        <v>1.2290000000000001</v>
      </c>
      <c r="O12" s="289"/>
      <c r="P12" s="289"/>
      <c r="Q12" s="356"/>
    </row>
    <row r="13" spans="1:20" ht="25.5" x14ac:dyDescent="0.2">
      <c r="A13" s="470" t="str">
        <f>Подписка!A16</f>
        <v>МАОУ ООШ № 17 с кадетскими классами структурное подразделение</v>
      </c>
      <c r="B13" s="281">
        <f>Численность!B14+Численность!G14</f>
        <v>20</v>
      </c>
      <c r="C13" s="281">
        <f>Численность!C14+Численность!H14</f>
        <v>87</v>
      </c>
      <c r="D13" s="352">
        <f>Численность!I14</f>
        <v>0</v>
      </c>
      <c r="E13" s="347">
        <f>'Исходные данные'!P12</f>
        <v>24</v>
      </c>
      <c r="F13" s="347">
        <f>'Исходные данные'!Q12</f>
        <v>90</v>
      </c>
      <c r="G13" s="347">
        <f>'Исходные данные'!R12</f>
        <v>75</v>
      </c>
      <c r="H13" s="313">
        <v>1</v>
      </c>
      <c r="I13" s="313">
        <v>1</v>
      </c>
      <c r="J13" s="313">
        <f>ROUND('Исходные данные'!Q14/'Исходные данные'!R14,3)</f>
        <v>1.7330000000000001</v>
      </c>
      <c r="K13" s="289">
        <f>'Общий 2021'!$M$7</f>
        <v>10244.650000000001</v>
      </c>
      <c r="L13" s="289">
        <f>'Общий 2021'!$M$8</f>
        <v>10152.960000000001</v>
      </c>
      <c r="M13" s="289">
        <f>ОХ2021!AE13</f>
        <v>2766767.7181599997</v>
      </c>
      <c r="N13" s="313">
        <f t="shared" si="0"/>
        <v>2.5430000000000001</v>
      </c>
      <c r="O13" s="289"/>
      <c r="P13" s="289"/>
      <c r="Q13" s="356"/>
    </row>
    <row r="14" spans="1:20" x14ac:dyDescent="0.2">
      <c r="A14" s="312" t="str">
        <f>Подписка!A17</f>
        <v>Итого</v>
      </c>
      <c r="B14" s="314">
        <f t="shared" ref="B14:G14" si="1">SUM(B5:B13)</f>
        <v>552</v>
      </c>
      <c r="C14" s="314">
        <f t="shared" si="1"/>
        <v>2657</v>
      </c>
      <c r="D14" s="314">
        <f t="shared" si="1"/>
        <v>106</v>
      </c>
      <c r="E14" s="314">
        <f t="shared" si="1"/>
        <v>638</v>
      </c>
      <c r="F14" s="314">
        <f t="shared" si="1"/>
        <v>2785</v>
      </c>
      <c r="G14" s="314">
        <f t="shared" si="1"/>
        <v>75</v>
      </c>
      <c r="H14" s="312"/>
      <c r="I14" s="289"/>
      <c r="J14" s="289"/>
      <c r="K14" s="289"/>
      <c r="L14" s="289"/>
      <c r="M14" s="289">
        <f>SUM(M5:M13)</f>
        <v>36136637.8112</v>
      </c>
      <c r="N14" s="312"/>
      <c r="O14" s="289"/>
      <c r="P14" s="289"/>
      <c r="Q14" s="356"/>
      <c r="S14" s="186">
        <f>M14-ОХ2021!AE14</f>
        <v>0</v>
      </c>
    </row>
    <row r="15" spans="1:20" x14ac:dyDescent="0.2">
      <c r="E15" s="315"/>
      <c r="F15" s="315"/>
      <c r="G15" s="315"/>
      <c r="M15" s="186"/>
    </row>
  </sheetData>
  <mergeCells count="9">
    <mergeCell ref="A1:N1"/>
    <mergeCell ref="A3:A4"/>
    <mergeCell ref="O3:O4"/>
    <mergeCell ref="P3:P4"/>
    <mergeCell ref="Q3:Q4"/>
    <mergeCell ref="K3:N3"/>
    <mergeCell ref="H3:J3"/>
    <mergeCell ref="B3:D3"/>
    <mergeCell ref="E3:G3"/>
  </mergeCell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pageSetUpPr fitToPage="1"/>
  </sheetPr>
  <dimension ref="A1:U48"/>
  <sheetViews>
    <sheetView zoomScale="110" zoomScaleNormal="110" workbookViewId="0">
      <selection activeCell="I22" sqref="I22"/>
    </sheetView>
  </sheetViews>
  <sheetFormatPr defaultRowHeight="12.75" x14ac:dyDescent="0.2"/>
  <cols>
    <col min="1" max="1" width="42.85546875" style="14" customWidth="1"/>
    <col min="2" max="2" width="12.7109375" style="14" customWidth="1"/>
    <col min="3" max="3" width="12.140625" style="14" customWidth="1"/>
    <col min="4" max="4" width="12.85546875" style="14" customWidth="1"/>
    <col min="5" max="5" width="11.85546875" style="14" customWidth="1"/>
    <col min="6" max="6" width="12.7109375" style="14" customWidth="1"/>
    <col min="7" max="9" width="12.28515625" style="14" customWidth="1"/>
    <col min="10" max="10" width="12.85546875" style="14" bestFit="1" customWidth="1"/>
    <col min="11" max="11" width="12.5703125" style="14" customWidth="1"/>
    <col min="12" max="12" width="13.5703125" style="14" customWidth="1"/>
    <col min="13" max="13" width="8.85546875" style="14" customWidth="1"/>
    <col min="14" max="14" width="10" style="14" customWidth="1"/>
    <col min="15" max="15" width="13.28515625" style="14" customWidth="1"/>
    <col min="16" max="17" width="13.7109375" style="14" customWidth="1"/>
    <col min="18" max="18" width="13.5703125" style="14" bestFit="1" customWidth="1"/>
    <col min="19" max="20" width="13.42578125" style="14" customWidth="1"/>
    <col min="21" max="21" width="14.28515625" style="14" customWidth="1"/>
    <col min="22" max="240" width="9.140625" style="14"/>
    <col min="241" max="241" width="21.5703125" style="14" customWidth="1"/>
    <col min="242" max="242" width="15.28515625" style="14" customWidth="1"/>
    <col min="243" max="243" width="10.85546875" style="14" customWidth="1"/>
    <col min="244" max="244" width="10" style="14" customWidth="1"/>
    <col min="245" max="245" width="10.7109375" style="14" customWidth="1"/>
    <col min="246" max="246" width="12.7109375" style="14" customWidth="1"/>
    <col min="247" max="249" width="12.28515625" style="14" customWidth="1"/>
    <col min="250" max="250" width="16" style="14" customWidth="1"/>
    <col min="251" max="255" width="18" style="14" customWidth="1"/>
    <col min="256" max="256" width="15.7109375" style="14" customWidth="1"/>
    <col min="257" max="257" width="14.28515625" style="14" customWidth="1"/>
    <col min="258" max="258" width="16.28515625" style="14" customWidth="1"/>
    <col min="259" max="259" width="12.5703125" style="14" customWidth="1"/>
    <col min="260" max="260" width="11.85546875" style="14" customWidth="1"/>
    <col min="261" max="261" width="19.28515625" style="14" customWidth="1"/>
    <col min="262" max="262" width="16.85546875" style="14" customWidth="1"/>
    <col min="263" max="263" width="17" style="14" customWidth="1"/>
    <col min="264" max="264" width="17.42578125" style="14" customWidth="1"/>
    <col min="265" max="265" width="13" style="14" customWidth="1"/>
    <col min="266" max="266" width="12.28515625" style="14" customWidth="1"/>
    <col min="267" max="267" width="19.28515625" style="14" customWidth="1"/>
    <col min="268" max="268" width="16.5703125" style="14" customWidth="1"/>
    <col min="269" max="269" width="16.28515625" style="14" customWidth="1"/>
    <col min="270" max="270" width="18.7109375" style="14" customWidth="1"/>
    <col min="271" max="271" width="12.28515625" style="14" customWidth="1"/>
    <col min="272" max="272" width="12.140625" style="14" customWidth="1"/>
    <col min="273" max="273" width="19.28515625" style="14" customWidth="1"/>
    <col min="274" max="274" width="15.7109375" style="14" customWidth="1"/>
    <col min="275" max="275" width="17.7109375" style="14" customWidth="1"/>
    <col min="276" max="496" width="9.140625" style="14"/>
    <col min="497" max="497" width="21.5703125" style="14" customWidth="1"/>
    <col min="498" max="498" width="15.28515625" style="14" customWidth="1"/>
    <col min="499" max="499" width="10.85546875" style="14" customWidth="1"/>
    <col min="500" max="500" width="10" style="14" customWidth="1"/>
    <col min="501" max="501" width="10.7109375" style="14" customWidth="1"/>
    <col min="502" max="502" width="12.7109375" style="14" customWidth="1"/>
    <col min="503" max="505" width="12.28515625" style="14" customWidth="1"/>
    <col min="506" max="506" width="16" style="14" customWidth="1"/>
    <col min="507" max="511" width="18" style="14" customWidth="1"/>
    <col min="512" max="512" width="15.7109375" style="14" customWidth="1"/>
    <col min="513" max="513" width="14.28515625" style="14" customWidth="1"/>
    <col min="514" max="514" width="16.28515625" style="14" customWidth="1"/>
    <col min="515" max="515" width="12.5703125" style="14" customWidth="1"/>
    <col min="516" max="516" width="11.85546875" style="14" customWidth="1"/>
    <col min="517" max="517" width="19.28515625" style="14" customWidth="1"/>
    <col min="518" max="518" width="16.85546875" style="14" customWidth="1"/>
    <col min="519" max="519" width="17" style="14" customWidth="1"/>
    <col min="520" max="520" width="17.42578125" style="14" customWidth="1"/>
    <col min="521" max="521" width="13" style="14" customWidth="1"/>
    <col min="522" max="522" width="12.28515625" style="14" customWidth="1"/>
    <col min="523" max="523" width="19.28515625" style="14" customWidth="1"/>
    <col min="524" max="524" width="16.5703125" style="14" customWidth="1"/>
    <col min="525" max="525" width="16.28515625" style="14" customWidth="1"/>
    <col min="526" max="526" width="18.7109375" style="14" customWidth="1"/>
    <col min="527" max="527" width="12.28515625" style="14" customWidth="1"/>
    <col min="528" max="528" width="12.140625" style="14" customWidth="1"/>
    <col min="529" max="529" width="19.28515625" style="14" customWidth="1"/>
    <col min="530" max="530" width="15.7109375" style="14" customWidth="1"/>
    <col min="531" max="531" width="17.7109375" style="14" customWidth="1"/>
    <col min="532" max="752" width="9.140625" style="14"/>
    <col min="753" max="753" width="21.5703125" style="14" customWidth="1"/>
    <col min="754" max="754" width="15.28515625" style="14" customWidth="1"/>
    <col min="755" max="755" width="10.85546875" style="14" customWidth="1"/>
    <col min="756" max="756" width="10" style="14" customWidth="1"/>
    <col min="757" max="757" width="10.7109375" style="14" customWidth="1"/>
    <col min="758" max="758" width="12.7109375" style="14" customWidth="1"/>
    <col min="759" max="761" width="12.28515625" style="14" customWidth="1"/>
    <col min="762" max="762" width="16" style="14" customWidth="1"/>
    <col min="763" max="767" width="18" style="14" customWidth="1"/>
    <col min="768" max="768" width="15.7109375" style="14" customWidth="1"/>
    <col min="769" max="769" width="14.28515625" style="14" customWidth="1"/>
    <col min="770" max="770" width="16.28515625" style="14" customWidth="1"/>
    <col min="771" max="771" width="12.5703125" style="14" customWidth="1"/>
    <col min="772" max="772" width="11.85546875" style="14" customWidth="1"/>
    <col min="773" max="773" width="19.28515625" style="14" customWidth="1"/>
    <col min="774" max="774" width="16.85546875" style="14" customWidth="1"/>
    <col min="775" max="775" width="17" style="14" customWidth="1"/>
    <col min="776" max="776" width="17.42578125" style="14" customWidth="1"/>
    <col min="777" max="777" width="13" style="14" customWidth="1"/>
    <col min="778" max="778" width="12.28515625" style="14" customWidth="1"/>
    <col min="779" max="779" width="19.28515625" style="14" customWidth="1"/>
    <col min="780" max="780" width="16.5703125" style="14" customWidth="1"/>
    <col min="781" max="781" width="16.28515625" style="14" customWidth="1"/>
    <col min="782" max="782" width="18.7109375" style="14" customWidth="1"/>
    <col min="783" max="783" width="12.28515625" style="14" customWidth="1"/>
    <col min="784" max="784" width="12.140625" style="14" customWidth="1"/>
    <col min="785" max="785" width="19.28515625" style="14" customWidth="1"/>
    <col min="786" max="786" width="15.7109375" style="14" customWidth="1"/>
    <col min="787" max="787" width="17.7109375" style="14" customWidth="1"/>
    <col min="788" max="1008" width="9.140625" style="14"/>
    <col min="1009" max="1009" width="21.5703125" style="14" customWidth="1"/>
    <col min="1010" max="1010" width="15.28515625" style="14" customWidth="1"/>
    <col min="1011" max="1011" width="10.85546875" style="14" customWidth="1"/>
    <col min="1012" max="1012" width="10" style="14" customWidth="1"/>
    <col min="1013" max="1013" width="10.7109375" style="14" customWidth="1"/>
    <col min="1014" max="1014" width="12.7109375" style="14" customWidth="1"/>
    <col min="1015" max="1017" width="12.28515625" style="14" customWidth="1"/>
    <col min="1018" max="1018" width="16" style="14" customWidth="1"/>
    <col min="1019" max="1023" width="18" style="14" customWidth="1"/>
    <col min="1024" max="1024" width="15.7109375" style="14" customWidth="1"/>
    <col min="1025" max="1025" width="14.28515625" style="14" customWidth="1"/>
    <col min="1026" max="1026" width="16.28515625" style="14" customWidth="1"/>
    <col min="1027" max="1027" width="12.5703125" style="14" customWidth="1"/>
    <col min="1028" max="1028" width="11.85546875" style="14" customWidth="1"/>
    <col min="1029" max="1029" width="19.28515625" style="14" customWidth="1"/>
    <col min="1030" max="1030" width="16.85546875" style="14" customWidth="1"/>
    <col min="1031" max="1031" width="17" style="14" customWidth="1"/>
    <col min="1032" max="1032" width="17.42578125" style="14" customWidth="1"/>
    <col min="1033" max="1033" width="13" style="14" customWidth="1"/>
    <col min="1034" max="1034" width="12.28515625" style="14" customWidth="1"/>
    <col min="1035" max="1035" width="19.28515625" style="14" customWidth="1"/>
    <col min="1036" max="1036" width="16.5703125" style="14" customWidth="1"/>
    <col min="1037" max="1037" width="16.28515625" style="14" customWidth="1"/>
    <col min="1038" max="1038" width="18.7109375" style="14" customWidth="1"/>
    <col min="1039" max="1039" width="12.28515625" style="14" customWidth="1"/>
    <col min="1040" max="1040" width="12.140625" style="14" customWidth="1"/>
    <col min="1041" max="1041" width="19.28515625" style="14" customWidth="1"/>
    <col min="1042" max="1042" width="15.7109375" style="14" customWidth="1"/>
    <col min="1043" max="1043" width="17.7109375" style="14" customWidth="1"/>
    <col min="1044" max="1264" width="9.140625" style="14"/>
    <col min="1265" max="1265" width="21.5703125" style="14" customWidth="1"/>
    <col min="1266" max="1266" width="15.28515625" style="14" customWidth="1"/>
    <col min="1267" max="1267" width="10.85546875" style="14" customWidth="1"/>
    <col min="1268" max="1268" width="10" style="14" customWidth="1"/>
    <col min="1269" max="1269" width="10.7109375" style="14" customWidth="1"/>
    <col min="1270" max="1270" width="12.7109375" style="14" customWidth="1"/>
    <col min="1271" max="1273" width="12.28515625" style="14" customWidth="1"/>
    <col min="1274" max="1274" width="16" style="14" customWidth="1"/>
    <col min="1275" max="1279" width="18" style="14" customWidth="1"/>
    <col min="1280" max="1280" width="15.7109375" style="14" customWidth="1"/>
    <col min="1281" max="1281" width="14.28515625" style="14" customWidth="1"/>
    <col min="1282" max="1282" width="16.28515625" style="14" customWidth="1"/>
    <col min="1283" max="1283" width="12.5703125" style="14" customWidth="1"/>
    <col min="1284" max="1284" width="11.85546875" style="14" customWidth="1"/>
    <col min="1285" max="1285" width="19.28515625" style="14" customWidth="1"/>
    <col min="1286" max="1286" width="16.85546875" style="14" customWidth="1"/>
    <col min="1287" max="1287" width="17" style="14" customWidth="1"/>
    <col min="1288" max="1288" width="17.42578125" style="14" customWidth="1"/>
    <col min="1289" max="1289" width="13" style="14" customWidth="1"/>
    <col min="1290" max="1290" width="12.28515625" style="14" customWidth="1"/>
    <col min="1291" max="1291" width="19.28515625" style="14" customWidth="1"/>
    <col min="1292" max="1292" width="16.5703125" style="14" customWidth="1"/>
    <col min="1293" max="1293" width="16.28515625" style="14" customWidth="1"/>
    <col min="1294" max="1294" width="18.7109375" style="14" customWidth="1"/>
    <col min="1295" max="1295" width="12.28515625" style="14" customWidth="1"/>
    <col min="1296" max="1296" width="12.140625" style="14" customWidth="1"/>
    <col min="1297" max="1297" width="19.28515625" style="14" customWidth="1"/>
    <col min="1298" max="1298" width="15.7109375" style="14" customWidth="1"/>
    <col min="1299" max="1299" width="17.7109375" style="14" customWidth="1"/>
    <col min="1300" max="1520" width="9.140625" style="14"/>
    <col min="1521" max="1521" width="21.5703125" style="14" customWidth="1"/>
    <col min="1522" max="1522" width="15.28515625" style="14" customWidth="1"/>
    <col min="1523" max="1523" width="10.85546875" style="14" customWidth="1"/>
    <col min="1524" max="1524" width="10" style="14" customWidth="1"/>
    <col min="1525" max="1525" width="10.7109375" style="14" customWidth="1"/>
    <col min="1526" max="1526" width="12.7109375" style="14" customWidth="1"/>
    <col min="1527" max="1529" width="12.28515625" style="14" customWidth="1"/>
    <col min="1530" max="1530" width="16" style="14" customWidth="1"/>
    <col min="1531" max="1535" width="18" style="14" customWidth="1"/>
    <col min="1536" max="1536" width="15.7109375" style="14" customWidth="1"/>
    <col min="1537" max="1537" width="14.28515625" style="14" customWidth="1"/>
    <col min="1538" max="1538" width="16.28515625" style="14" customWidth="1"/>
    <col min="1539" max="1539" width="12.5703125" style="14" customWidth="1"/>
    <col min="1540" max="1540" width="11.85546875" style="14" customWidth="1"/>
    <col min="1541" max="1541" width="19.28515625" style="14" customWidth="1"/>
    <col min="1542" max="1542" width="16.85546875" style="14" customWidth="1"/>
    <col min="1543" max="1543" width="17" style="14" customWidth="1"/>
    <col min="1544" max="1544" width="17.42578125" style="14" customWidth="1"/>
    <col min="1545" max="1545" width="13" style="14" customWidth="1"/>
    <col min="1546" max="1546" width="12.28515625" style="14" customWidth="1"/>
    <col min="1547" max="1547" width="19.28515625" style="14" customWidth="1"/>
    <col min="1548" max="1548" width="16.5703125" style="14" customWidth="1"/>
    <col min="1549" max="1549" width="16.28515625" style="14" customWidth="1"/>
    <col min="1550" max="1550" width="18.7109375" style="14" customWidth="1"/>
    <col min="1551" max="1551" width="12.28515625" style="14" customWidth="1"/>
    <col min="1552" max="1552" width="12.140625" style="14" customWidth="1"/>
    <col min="1553" max="1553" width="19.28515625" style="14" customWidth="1"/>
    <col min="1554" max="1554" width="15.7109375" style="14" customWidth="1"/>
    <col min="1555" max="1555" width="17.7109375" style="14" customWidth="1"/>
    <col min="1556" max="1776" width="9.140625" style="14"/>
    <col min="1777" max="1777" width="21.5703125" style="14" customWidth="1"/>
    <col min="1778" max="1778" width="15.28515625" style="14" customWidth="1"/>
    <col min="1779" max="1779" width="10.85546875" style="14" customWidth="1"/>
    <col min="1780" max="1780" width="10" style="14" customWidth="1"/>
    <col min="1781" max="1781" width="10.7109375" style="14" customWidth="1"/>
    <col min="1782" max="1782" width="12.7109375" style="14" customWidth="1"/>
    <col min="1783" max="1785" width="12.28515625" style="14" customWidth="1"/>
    <col min="1786" max="1786" width="16" style="14" customWidth="1"/>
    <col min="1787" max="1791" width="18" style="14" customWidth="1"/>
    <col min="1792" max="1792" width="15.7109375" style="14" customWidth="1"/>
    <col min="1793" max="1793" width="14.28515625" style="14" customWidth="1"/>
    <col min="1794" max="1794" width="16.28515625" style="14" customWidth="1"/>
    <col min="1795" max="1795" width="12.5703125" style="14" customWidth="1"/>
    <col min="1796" max="1796" width="11.85546875" style="14" customWidth="1"/>
    <col min="1797" max="1797" width="19.28515625" style="14" customWidth="1"/>
    <col min="1798" max="1798" width="16.85546875" style="14" customWidth="1"/>
    <col min="1799" max="1799" width="17" style="14" customWidth="1"/>
    <col min="1800" max="1800" width="17.42578125" style="14" customWidth="1"/>
    <col min="1801" max="1801" width="13" style="14" customWidth="1"/>
    <col min="1802" max="1802" width="12.28515625" style="14" customWidth="1"/>
    <col min="1803" max="1803" width="19.28515625" style="14" customWidth="1"/>
    <col min="1804" max="1804" width="16.5703125" style="14" customWidth="1"/>
    <col min="1805" max="1805" width="16.28515625" style="14" customWidth="1"/>
    <col min="1806" max="1806" width="18.7109375" style="14" customWidth="1"/>
    <col min="1807" max="1807" width="12.28515625" style="14" customWidth="1"/>
    <col min="1808" max="1808" width="12.140625" style="14" customWidth="1"/>
    <col min="1809" max="1809" width="19.28515625" style="14" customWidth="1"/>
    <col min="1810" max="1810" width="15.7109375" style="14" customWidth="1"/>
    <col min="1811" max="1811" width="17.7109375" style="14" customWidth="1"/>
    <col min="1812" max="2032" width="9.140625" style="14"/>
    <col min="2033" max="2033" width="21.5703125" style="14" customWidth="1"/>
    <col min="2034" max="2034" width="15.28515625" style="14" customWidth="1"/>
    <col min="2035" max="2035" width="10.85546875" style="14" customWidth="1"/>
    <col min="2036" max="2036" width="10" style="14" customWidth="1"/>
    <col min="2037" max="2037" width="10.7109375" style="14" customWidth="1"/>
    <col min="2038" max="2038" width="12.7109375" style="14" customWidth="1"/>
    <col min="2039" max="2041" width="12.28515625" style="14" customWidth="1"/>
    <col min="2042" max="2042" width="16" style="14" customWidth="1"/>
    <col min="2043" max="2047" width="18" style="14" customWidth="1"/>
    <col min="2048" max="2048" width="15.7109375" style="14" customWidth="1"/>
    <col min="2049" max="2049" width="14.28515625" style="14" customWidth="1"/>
    <col min="2050" max="2050" width="16.28515625" style="14" customWidth="1"/>
    <col min="2051" max="2051" width="12.5703125" style="14" customWidth="1"/>
    <col min="2052" max="2052" width="11.85546875" style="14" customWidth="1"/>
    <col min="2053" max="2053" width="19.28515625" style="14" customWidth="1"/>
    <col min="2054" max="2054" width="16.85546875" style="14" customWidth="1"/>
    <col min="2055" max="2055" width="17" style="14" customWidth="1"/>
    <col min="2056" max="2056" width="17.42578125" style="14" customWidth="1"/>
    <col min="2057" max="2057" width="13" style="14" customWidth="1"/>
    <col min="2058" max="2058" width="12.28515625" style="14" customWidth="1"/>
    <col min="2059" max="2059" width="19.28515625" style="14" customWidth="1"/>
    <col min="2060" max="2060" width="16.5703125" style="14" customWidth="1"/>
    <col min="2061" max="2061" width="16.28515625" style="14" customWidth="1"/>
    <col min="2062" max="2062" width="18.7109375" style="14" customWidth="1"/>
    <col min="2063" max="2063" width="12.28515625" style="14" customWidth="1"/>
    <col min="2064" max="2064" width="12.140625" style="14" customWidth="1"/>
    <col min="2065" max="2065" width="19.28515625" style="14" customWidth="1"/>
    <col min="2066" max="2066" width="15.7109375" style="14" customWidth="1"/>
    <col min="2067" max="2067" width="17.7109375" style="14" customWidth="1"/>
    <col min="2068" max="2288" width="9.140625" style="14"/>
    <col min="2289" max="2289" width="21.5703125" style="14" customWidth="1"/>
    <col min="2290" max="2290" width="15.28515625" style="14" customWidth="1"/>
    <col min="2291" max="2291" width="10.85546875" style="14" customWidth="1"/>
    <col min="2292" max="2292" width="10" style="14" customWidth="1"/>
    <col min="2293" max="2293" width="10.7109375" style="14" customWidth="1"/>
    <col min="2294" max="2294" width="12.7109375" style="14" customWidth="1"/>
    <col min="2295" max="2297" width="12.28515625" style="14" customWidth="1"/>
    <col min="2298" max="2298" width="16" style="14" customWidth="1"/>
    <col min="2299" max="2303" width="18" style="14" customWidth="1"/>
    <col min="2304" max="2304" width="15.7109375" style="14" customWidth="1"/>
    <col min="2305" max="2305" width="14.28515625" style="14" customWidth="1"/>
    <col min="2306" max="2306" width="16.28515625" style="14" customWidth="1"/>
    <col min="2307" max="2307" width="12.5703125" style="14" customWidth="1"/>
    <col min="2308" max="2308" width="11.85546875" style="14" customWidth="1"/>
    <col min="2309" max="2309" width="19.28515625" style="14" customWidth="1"/>
    <col min="2310" max="2310" width="16.85546875" style="14" customWidth="1"/>
    <col min="2311" max="2311" width="17" style="14" customWidth="1"/>
    <col min="2312" max="2312" width="17.42578125" style="14" customWidth="1"/>
    <col min="2313" max="2313" width="13" style="14" customWidth="1"/>
    <col min="2314" max="2314" width="12.28515625" style="14" customWidth="1"/>
    <col min="2315" max="2315" width="19.28515625" style="14" customWidth="1"/>
    <col min="2316" max="2316" width="16.5703125" style="14" customWidth="1"/>
    <col min="2317" max="2317" width="16.28515625" style="14" customWidth="1"/>
    <col min="2318" max="2318" width="18.7109375" style="14" customWidth="1"/>
    <col min="2319" max="2319" width="12.28515625" style="14" customWidth="1"/>
    <col min="2320" max="2320" width="12.140625" style="14" customWidth="1"/>
    <col min="2321" max="2321" width="19.28515625" style="14" customWidth="1"/>
    <col min="2322" max="2322" width="15.7109375" style="14" customWidth="1"/>
    <col min="2323" max="2323" width="17.7109375" style="14" customWidth="1"/>
    <col min="2324" max="2544" width="9.140625" style="14"/>
    <col min="2545" max="2545" width="21.5703125" style="14" customWidth="1"/>
    <col min="2546" max="2546" width="15.28515625" style="14" customWidth="1"/>
    <col min="2547" max="2547" width="10.85546875" style="14" customWidth="1"/>
    <col min="2548" max="2548" width="10" style="14" customWidth="1"/>
    <col min="2549" max="2549" width="10.7109375" style="14" customWidth="1"/>
    <col min="2550" max="2550" width="12.7109375" style="14" customWidth="1"/>
    <col min="2551" max="2553" width="12.28515625" style="14" customWidth="1"/>
    <col min="2554" max="2554" width="16" style="14" customWidth="1"/>
    <col min="2555" max="2559" width="18" style="14" customWidth="1"/>
    <col min="2560" max="2560" width="15.7109375" style="14" customWidth="1"/>
    <col min="2561" max="2561" width="14.28515625" style="14" customWidth="1"/>
    <col min="2562" max="2562" width="16.28515625" style="14" customWidth="1"/>
    <col min="2563" max="2563" width="12.5703125" style="14" customWidth="1"/>
    <col min="2564" max="2564" width="11.85546875" style="14" customWidth="1"/>
    <col min="2565" max="2565" width="19.28515625" style="14" customWidth="1"/>
    <col min="2566" max="2566" width="16.85546875" style="14" customWidth="1"/>
    <col min="2567" max="2567" width="17" style="14" customWidth="1"/>
    <col min="2568" max="2568" width="17.42578125" style="14" customWidth="1"/>
    <col min="2569" max="2569" width="13" style="14" customWidth="1"/>
    <col min="2570" max="2570" width="12.28515625" style="14" customWidth="1"/>
    <col min="2571" max="2571" width="19.28515625" style="14" customWidth="1"/>
    <col min="2572" max="2572" width="16.5703125" style="14" customWidth="1"/>
    <col min="2573" max="2573" width="16.28515625" style="14" customWidth="1"/>
    <col min="2574" max="2574" width="18.7109375" style="14" customWidth="1"/>
    <col min="2575" max="2575" width="12.28515625" style="14" customWidth="1"/>
    <col min="2576" max="2576" width="12.140625" style="14" customWidth="1"/>
    <col min="2577" max="2577" width="19.28515625" style="14" customWidth="1"/>
    <col min="2578" max="2578" width="15.7109375" style="14" customWidth="1"/>
    <col min="2579" max="2579" width="17.7109375" style="14" customWidth="1"/>
    <col min="2580" max="2800" width="9.140625" style="14"/>
    <col min="2801" max="2801" width="21.5703125" style="14" customWidth="1"/>
    <col min="2802" max="2802" width="15.28515625" style="14" customWidth="1"/>
    <col min="2803" max="2803" width="10.85546875" style="14" customWidth="1"/>
    <col min="2804" max="2804" width="10" style="14" customWidth="1"/>
    <col min="2805" max="2805" width="10.7109375" style="14" customWidth="1"/>
    <col min="2806" max="2806" width="12.7109375" style="14" customWidth="1"/>
    <col min="2807" max="2809" width="12.28515625" style="14" customWidth="1"/>
    <col min="2810" max="2810" width="16" style="14" customWidth="1"/>
    <col min="2811" max="2815" width="18" style="14" customWidth="1"/>
    <col min="2816" max="2816" width="15.7109375" style="14" customWidth="1"/>
    <col min="2817" max="2817" width="14.28515625" style="14" customWidth="1"/>
    <col min="2818" max="2818" width="16.28515625" style="14" customWidth="1"/>
    <col min="2819" max="2819" width="12.5703125" style="14" customWidth="1"/>
    <col min="2820" max="2820" width="11.85546875" style="14" customWidth="1"/>
    <col min="2821" max="2821" width="19.28515625" style="14" customWidth="1"/>
    <col min="2822" max="2822" width="16.85546875" style="14" customWidth="1"/>
    <col min="2823" max="2823" width="17" style="14" customWidth="1"/>
    <col min="2824" max="2824" width="17.42578125" style="14" customWidth="1"/>
    <col min="2825" max="2825" width="13" style="14" customWidth="1"/>
    <col min="2826" max="2826" width="12.28515625" style="14" customWidth="1"/>
    <col min="2827" max="2827" width="19.28515625" style="14" customWidth="1"/>
    <col min="2828" max="2828" width="16.5703125" style="14" customWidth="1"/>
    <col min="2829" max="2829" width="16.28515625" style="14" customWidth="1"/>
    <col min="2830" max="2830" width="18.7109375" style="14" customWidth="1"/>
    <col min="2831" max="2831" width="12.28515625" style="14" customWidth="1"/>
    <col min="2832" max="2832" width="12.140625" style="14" customWidth="1"/>
    <col min="2833" max="2833" width="19.28515625" style="14" customWidth="1"/>
    <col min="2834" max="2834" width="15.7109375" style="14" customWidth="1"/>
    <col min="2835" max="2835" width="17.7109375" style="14" customWidth="1"/>
    <col min="2836" max="3056" width="9.140625" style="14"/>
    <col min="3057" max="3057" width="21.5703125" style="14" customWidth="1"/>
    <col min="3058" max="3058" width="15.28515625" style="14" customWidth="1"/>
    <col min="3059" max="3059" width="10.85546875" style="14" customWidth="1"/>
    <col min="3060" max="3060" width="10" style="14" customWidth="1"/>
    <col min="3061" max="3061" width="10.7109375" style="14" customWidth="1"/>
    <col min="3062" max="3062" width="12.7109375" style="14" customWidth="1"/>
    <col min="3063" max="3065" width="12.28515625" style="14" customWidth="1"/>
    <col min="3066" max="3066" width="16" style="14" customWidth="1"/>
    <col min="3067" max="3071" width="18" style="14" customWidth="1"/>
    <col min="3072" max="3072" width="15.7109375" style="14" customWidth="1"/>
    <col min="3073" max="3073" width="14.28515625" style="14" customWidth="1"/>
    <col min="3074" max="3074" width="16.28515625" style="14" customWidth="1"/>
    <col min="3075" max="3075" width="12.5703125" style="14" customWidth="1"/>
    <col min="3076" max="3076" width="11.85546875" style="14" customWidth="1"/>
    <col min="3077" max="3077" width="19.28515625" style="14" customWidth="1"/>
    <col min="3078" max="3078" width="16.85546875" style="14" customWidth="1"/>
    <col min="3079" max="3079" width="17" style="14" customWidth="1"/>
    <col min="3080" max="3080" width="17.42578125" style="14" customWidth="1"/>
    <col min="3081" max="3081" width="13" style="14" customWidth="1"/>
    <col min="3082" max="3082" width="12.28515625" style="14" customWidth="1"/>
    <col min="3083" max="3083" width="19.28515625" style="14" customWidth="1"/>
    <col min="3084" max="3084" width="16.5703125" style="14" customWidth="1"/>
    <col min="3085" max="3085" width="16.28515625" style="14" customWidth="1"/>
    <col min="3086" max="3086" width="18.7109375" style="14" customWidth="1"/>
    <col min="3087" max="3087" width="12.28515625" style="14" customWidth="1"/>
    <col min="3088" max="3088" width="12.140625" style="14" customWidth="1"/>
    <col min="3089" max="3089" width="19.28515625" style="14" customWidth="1"/>
    <col min="3090" max="3090" width="15.7109375" style="14" customWidth="1"/>
    <col min="3091" max="3091" width="17.7109375" style="14" customWidth="1"/>
    <col min="3092" max="3312" width="9.140625" style="14"/>
    <col min="3313" max="3313" width="21.5703125" style="14" customWidth="1"/>
    <col min="3314" max="3314" width="15.28515625" style="14" customWidth="1"/>
    <col min="3315" max="3315" width="10.85546875" style="14" customWidth="1"/>
    <col min="3316" max="3316" width="10" style="14" customWidth="1"/>
    <col min="3317" max="3317" width="10.7109375" style="14" customWidth="1"/>
    <col min="3318" max="3318" width="12.7109375" style="14" customWidth="1"/>
    <col min="3319" max="3321" width="12.28515625" style="14" customWidth="1"/>
    <col min="3322" max="3322" width="16" style="14" customWidth="1"/>
    <col min="3323" max="3327" width="18" style="14" customWidth="1"/>
    <col min="3328" max="3328" width="15.7109375" style="14" customWidth="1"/>
    <col min="3329" max="3329" width="14.28515625" style="14" customWidth="1"/>
    <col min="3330" max="3330" width="16.28515625" style="14" customWidth="1"/>
    <col min="3331" max="3331" width="12.5703125" style="14" customWidth="1"/>
    <col min="3332" max="3332" width="11.85546875" style="14" customWidth="1"/>
    <col min="3333" max="3333" width="19.28515625" style="14" customWidth="1"/>
    <col min="3334" max="3334" width="16.85546875" style="14" customWidth="1"/>
    <col min="3335" max="3335" width="17" style="14" customWidth="1"/>
    <col min="3336" max="3336" width="17.42578125" style="14" customWidth="1"/>
    <col min="3337" max="3337" width="13" style="14" customWidth="1"/>
    <col min="3338" max="3338" width="12.28515625" style="14" customWidth="1"/>
    <col min="3339" max="3339" width="19.28515625" style="14" customWidth="1"/>
    <col min="3340" max="3340" width="16.5703125" style="14" customWidth="1"/>
    <col min="3341" max="3341" width="16.28515625" style="14" customWidth="1"/>
    <col min="3342" max="3342" width="18.7109375" style="14" customWidth="1"/>
    <col min="3343" max="3343" width="12.28515625" style="14" customWidth="1"/>
    <col min="3344" max="3344" width="12.140625" style="14" customWidth="1"/>
    <col min="3345" max="3345" width="19.28515625" style="14" customWidth="1"/>
    <col min="3346" max="3346" width="15.7109375" style="14" customWidth="1"/>
    <col min="3347" max="3347" width="17.7109375" style="14" customWidth="1"/>
    <col min="3348" max="3568" width="9.140625" style="14"/>
    <col min="3569" max="3569" width="21.5703125" style="14" customWidth="1"/>
    <col min="3570" max="3570" width="15.28515625" style="14" customWidth="1"/>
    <col min="3571" max="3571" width="10.85546875" style="14" customWidth="1"/>
    <col min="3572" max="3572" width="10" style="14" customWidth="1"/>
    <col min="3573" max="3573" width="10.7109375" style="14" customWidth="1"/>
    <col min="3574" max="3574" width="12.7109375" style="14" customWidth="1"/>
    <col min="3575" max="3577" width="12.28515625" style="14" customWidth="1"/>
    <col min="3578" max="3578" width="16" style="14" customWidth="1"/>
    <col min="3579" max="3583" width="18" style="14" customWidth="1"/>
    <col min="3584" max="3584" width="15.7109375" style="14" customWidth="1"/>
    <col min="3585" max="3585" width="14.28515625" style="14" customWidth="1"/>
    <col min="3586" max="3586" width="16.28515625" style="14" customWidth="1"/>
    <col min="3587" max="3587" width="12.5703125" style="14" customWidth="1"/>
    <col min="3588" max="3588" width="11.85546875" style="14" customWidth="1"/>
    <col min="3589" max="3589" width="19.28515625" style="14" customWidth="1"/>
    <col min="3590" max="3590" width="16.85546875" style="14" customWidth="1"/>
    <col min="3591" max="3591" width="17" style="14" customWidth="1"/>
    <col min="3592" max="3592" width="17.42578125" style="14" customWidth="1"/>
    <col min="3593" max="3593" width="13" style="14" customWidth="1"/>
    <col min="3594" max="3594" width="12.28515625" style="14" customWidth="1"/>
    <col min="3595" max="3595" width="19.28515625" style="14" customWidth="1"/>
    <col min="3596" max="3596" width="16.5703125" style="14" customWidth="1"/>
    <col min="3597" max="3597" width="16.28515625" style="14" customWidth="1"/>
    <col min="3598" max="3598" width="18.7109375" style="14" customWidth="1"/>
    <col min="3599" max="3599" width="12.28515625" style="14" customWidth="1"/>
    <col min="3600" max="3600" width="12.140625" style="14" customWidth="1"/>
    <col min="3601" max="3601" width="19.28515625" style="14" customWidth="1"/>
    <col min="3602" max="3602" width="15.7109375" style="14" customWidth="1"/>
    <col min="3603" max="3603" width="17.7109375" style="14" customWidth="1"/>
    <col min="3604" max="3824" width="9.140625" style="14"/>
    <col min="3825" max="3825" width="21.5703125" style="14" customWidth="1"/>
    <col min="3826" max="3826" width="15.28515625" style="14" customWidth="1"/>
    <col min="3827" max="3827" width="10.85546875" style="14" customWidth="1"/>
    <col min="3828" max="3828" width="10" style="14" customWidth="1"/>
    <col min="3829" max="3829" width="10.7109375" style="14" customWidth="1"/>
    <col min="3830" max="3830" width="12.7109375" style="14" customWidth="1"/>
    <col min="3831" max="3833" width="12.28515625" style="14" customWidth="1"/>
    <col min="3834" max="3834" width="16" style="14" customWidth="1"/>
    <col min="3835" max="3839" width="18" style="14" customWidth="1"/>
    <col min="3840" max="3840" width="15.7109375" style="14" customWidth="1"/>
    <col min="3841" max="3841" width="14.28515625" style="14" customWidth="1"/>
    <col min="3842" max="3842" width="16.28515625" style="14" customWidth="1"/>
    <col min="3843" max="3843" width="12.5703125" style="14" customWidth="1"/>
    <col min="3844" max="3844" width="11.85546875" style="14" customWidth="1"/>
    <col min="3845" max="3845" width="19.28515625" style="14" customWidth="1"/>
    <col min="3846" max="3846" width="16.85546875" style="14" customWidth="1"/>
    <col min="3847" max="3847" width="17" style="14" customWidth="1"/>
    <col min="3848" max="3848" width="17.42578125" style="14" customWidth="1"/>
    <col min="3849" max="3849" width="13" style="14" customWidth="1"/>
    <col min="3850" max="3850" width="12.28515625" style="14" customWidth="1"/>
    <col min="3851" max="3851" width="19.28515625" style="14" customWidth="1"/>
    <col min="3852" max="3852" width="16.5703125" style="14" customWidth="1"/>
    <col min="3853" max="3853" width="16.28515625" style="14" customWidth="1"/>
    <col min="3854" max="3854" width="18.7109375" style="14" customWidth="1"/>
    <col min="3855" max="3855" width="12.28515625" style="14" customWidth="1"/>
    <col min="3856" max="3856" width="12.140625" style="14" customWidth="1"/>
    <col min="3857" max="3857" width="19.28515625" style="14" customWidth="1"/>
    <col min="3858" max="3858" width="15.7109375" style="14" customWidth="1"/>
    <col min="3859" max="3859" width="17.7109375" style="14" customWidth="1"/>
    <col min="3860" max="4080" width="9.140625" style="14"/>
    <col min="4081" max="4081" width="21.5703125" style="14" customWidth="1"/>
    <col min="4082" max="4082" width="15.28515625" style="14" customWidth="1"/>
    <col min="4083" max="4083" width="10.85546875" style="14" customWidth="1"/>
    <col min="4084" max="4084" width="10" style="14" customWidth="1"/>
    <col min="4085" max="4085" width="10.7109375" style="14" customWidth="1"/>
    <col min="4086" max="4086" width="12.7109375" style="14" customWidth="1"/>
    <col min="4087" max="4089" width="12.28515625" style="14" customWidth="1"/>
    <col min="4090" max="4090" width="16" style="14" customWidth="1"/>
    <col min="4091" max="4095" width="18" style="14" customWidth="1"/>
    <col min="4096" max="4096" width="15.7109375" style="14" customWidth="1"/>
    <col min="4097" max="4097" width="14.28515625" style="14" customWidth="1"/>
    <col min="4098" max="4098" width="16.28515625" style="14" customWidth="1"/>
    <col min="4099" max="4099" width="12.5703125" style="14" customWidth="1"/>
    <col min="4100" max="4100" width="11.85546875" style="14" customWidth="1"/>
    <col min="4101" max="4101" width="19.28515625" style="14" customWidth="1"/>
    <col min="4102" max="4102" width="16.85546875" style="14" customWidth="1"/>
    <col min="4103" max="4103" width="17" style="14" customWidth="1"/>
    <col min="4104" max="4104" width="17.42578125" style="14" customWidth="1"/>
    <col min="4105" max="4105" width="13" style="14" customWidth="1"/>
    <col min="4106" max="4106" width="12.28515625" style="14" customWidth="1"/>
    <col min="4107" max="4107" width="19.28515625" style="14" customWidth="1"/>
    <col min="4108" max="4108" width="16.5703125" style="14" customWidth="1"/>
    <col min="4109" max="4109" width="16.28515625" style="14" customWidth="1"/>
    <col min="4110" max="4110" width="18.7109375" style="14" customWidth="1"/>
    <col min="4111" max="4111" width="12.28515625" style="14" customWidth="1"/>
    <col min="4112" max="4112" width="12.140625" style="14" customWidth="1"/>
    <col min="4113" max="4113" width="19.28515625" style="14" customWidth="1"/>
    <col min="4114" max="4114" width="15.7109375" style="14" customWidth="1"/>
    <col min="4115" max="4115" width="17.7109375" style="14" customWidth="1"/>
    <col min="4116" max="4336" width="9.140625" style="14"/>
    <col min="4337" max="4337" width="21.5703125" style="14" customWidth="1"/>
    <col min="4338" max="4338" width="15.28515625" style="14" customWidth="1"/>
    <col min="4339" max="4339" width="10.85546875" style="14" customWidth="1"/>
    <col min="4340" max="4340" width="10" style="14" customWidth="1"/>
    <col min="4341" max="4341" width="10.7109375" style="14" customWidth="1"/>
    <col min="4342" max="4342" width="12.7109375" style="14" customWidth="1"/>
    <col min="4343" max="4345" width="12.28515625" style="14" customWidth="1"/>
    <col min="4346" max="4346" width="16" style="14" customWidth="1"/>
    <col min="4347" max="4351" width="18" style="14" customWidth="1"/>
    <col min="4352" max="4352" width="15.7109375" style="14" customWidth="1"/>
    <col min="4353" max="4353" width="14.28515625" style="14" customWidth="1"/>
    <col min="4354" max="4354" width="16.28515625" style="14" customWidth="1"/>
    <col min="4355" max="4355" width="12.5703125" style="14" customWidth="1"/>
    <col min="4356" max="4356" width="11.85546875" style="14" customWidth="1"/>
    <col min="4357" max="4357" width="19.28515625" style="14" customWidth="1"/>
    <col min="4358" max="4358" width="16.85546875" style="14" customWidth="1"/>
    <col min="4359" max="4359" width="17" style="14" customWidth="1"/>
    <col min="4360" max="4360" width="17.42578125" style="14" customWidth="1"/>
    <col min="4361" max="4361" width="13" style="14" customWidth="1"/>
    <col min="4362" max="4362" width="12.28515625" style="14" customWidth="1"/>
    <col min="4363" max="4363" width="19.28515625" style="14" customWidth="1"/>
    <col min="4364" max="4364" width="16.5703125" style="14" customWidth="1"/>
    <col min="4365" max="4365" width="16.28515625" style="14" customWidth="1"/>
    <col min="4366" max="4366" width="18.7109375" style="14" customWidth="1"/>
    <col min="4367" max="4367" width="12.28515625" style="14" customWidth="1"/>
    <col min="4368" max="4368" width="12.140625" style="14" customWidth="1"/>
    <col min="4369" max="4369" width="19.28515625" style="14" customWidth="1"/>
    <col min="4370" max="4370" width="15.7109375" style="14" customWidth="1"/>
    <col min="4371" max="4371" width="17.7109375" style="14" customWidth="1"/>
    <col min="4372" max="4592" width="9.140625" style="14"/>
    <col min="4593" max="4593" width="21.5703125" style="14" customWidth="1"/>
    <col min="4594" max="4594" width="15.28515625" style="14" customWidth="1"/>
    <col min="4595" max="4595" width="10.85546875" style="14" customWidth="1"/>
    <col min="4596" max="4596" width="10" style="14" customWidth="1"/>
    <col min="4597" max="4597" width="10.7109375" style="14" customWidth="1"/>
    <col min="4598" max="4598" width="12.7109375" style="14" customWidth="1"/>
    <col min="4599" max="4601" width="12.28515625" style="14" customWidth="1"/>
    <col min="4602" max="4602" width="16" style="14" customWidth="1"/>
    <col min="4603" max="4607" width="18" style="14" customWidth="1"/>
    <col min="4608" max="4608" width="15.7109375" style="14" customWidth="1"/>
    <col min="4609" max="4609" width="14.28515625" style="14" customWidth="1"/>
    <col min="4610" max="4610" width="16.28515625" style="14" customWidth="1"/>
    <col min="4611" max="4611" width="12.5703125" style="14" customWidth="1"/>
    <col min="4612" max="4612" width="11.85546875" style="14" customWidth="1"/>
    <col min="4613" max="4613" width="19.28515625" style="14" customWidth="1"/>
    <col min="4614" max="4614" width="16.85546875" style="14" customWidth="1"/>
    <col min="4615" max="4615" width="17" style="14" customWidth="1"/>
    <col min="4616" max="4616" width="17.42578125" style="14" customWidth="1"/>
    <col min="4617" max="4617" width="13" style="14" customWidth="1"/>
    <col min="4618" max="4618" width="12.28515625" style="14" customWidth="1"/>
    <col min="4619" max="4619" width="19.28515625" style="14" customWidth="1"/>
    <col min="4620" max="4620" width="16.5703125" style="14" customWidth="1"/>
    <col min="4621" max="4621" width="16.28515625" style="14" customWidth="1"/>
    <col min="4622" max="4622" width="18.7109375" style="14" customWidth="1"/>
    <col min="4623" max="4623" width="12.28515625" style="14" customWidth="1"/>
    <col min="4624" max="4624" width="12.140625" style="14" customWidth="1"/>
    <col min="4625" max="4625" width="19.28515625" style="14" customWidth="1"/>
    <col min="4626" max="4626" width="15.7109375" style="14" customWidth="1"/>
    <col min="4627" max="4627" width="17.7109375" style="14" customWidth="1"/>
    <col min="4628" max="4848" width="9.140625" style="14"/>
    <col min="4849" max="4849" width="21.5703125" style="14" customWidth="1"/>
    <col min="4850" max="4850" width="15.28515625" style="14" customWidth="1"/>
    <col min="4851" max="4851" width="10.85546875" style="14" customWidth="1"/>
    <col min="4852" max="4852" width="10" style="14" customWidth="1"/>
    <col min="4853" max="4853" width="10.7109375" style="14" customWidth="1"/>
    <col min="4854" max="4854" width="12.7109375" style="14" customWidth="1"/>
    <col min="4855" max="4857" width="12.28515625" style="14" customWidth="1"/>
    <col min="4858" max="4858" width="16" style="14" customWidth="1"/>
    <col min="4859" max="4863" width="18" style="14" customWidth="1"/>
    <col min="4864" max="4864" width="15.7109375" style="14" customWidth="1"/>
    <col min="4865" max="4865" width="14.28515625" style="14" customWidth="1"/>
    <col min="4866" max="4866" width="16.28515625" style="14" customWidth="1"/>
    <col min="4867" max="4867" width="12.5703125" style="14" customWidth="1"/>
    <col min="4868" max="4868" width="11.85546875" style="14" customWidth="1"/>
    <col min="4869" max="4869" width="19.28515625" style="14" customWidth="1"/>
    <col min="4870" max="4870" width="16.85546875" style="14" customWidth="1"/>
    <col min="4871" max="4871" width="17" style="14" customWidth="1"/>
    <col min="4872" max="4872" width="17.42578125" style="14" customWidth="1"/>
    <col min="4873" max="4873" width="13" style="14" customWidth="1"/>
    <col min="4874" max="4874" width="12.28515625" style="14" customWidth="1"/>
    <col min="4875" max="4875" width="19.28515625" style="14" customWidth="1"/>
    <col min="4876" max="4876" width="16.5703125" style="14" customWidth="1"/>
    <col min="4877" max="4877" width="16.28515625" style="14" customWidth="1"/>
    <col min="4878" max="4878" width="18.7109375" style="14" customWidth="1"/>
    <col min="4879" max="4879" width="12.28515625" style="14" customWidth="1"/>
    <col min="4880" max="4880" width="12.140625" style="14" customWidth="1"/>
    <col min="4881" max="4881" width="19.28515625" style="14" customWidth="1"/>
    <col min="4882" max="4882" width="15.7109375" style="14" customWidth="1"/>
    <col min="4883" max="4883" width="17.7109375" style="14" customWidth="1"/>
    <col min="4884" max="5104" width="9.140625" style="14"/>
    <col min="5105" max="5105" width="21.5703125" style="14" customWidth="1"/>
    <col min="5106" max="5106" width="15.28515625" style="14" customWidth="1"/>
    <col min="5107" max="5107" width="10.85546875" style="14" customWidth="1"/>
    <col min="5108" max="5108" width="10" style="14" customWidth="1"/>
    <col min="5109" max="5109" width="10.7109375" style="14" customWidth="1"/>
    <col min="5110" max="5110" width="12.7109375" style="14" customWidth="1"/>
    <col min="5111" max="5113" width="12.28515625" style="14" customWidth="1"/>
    <col min="5114" max="5114" width="16" style="14" customWidth="1"/>
    <col min="5115" max="5119" width="18" style="14" customWidth="1"/>
    <col min="5120" max="5120" width="15.7109375" style="14" customWidth="1"/>
    <col min="5121" max="5121" width="14.28515625" style="14" customWidth="1"/>
    <col min="5122" max="5122" width="16.28515625" style="14" customWidth="1"/>
    <col min="5123" max="5123" width="12.5703125" style="14" customWidth="1"/>
    <col min="5124" max="5124" width="11.85546875" style="14" customWidth="1"/>
    <col min="5125" max="5125" width="19.28515625" style="14" customWidth="1"/>
    <col min="5126" max="5126" width="16.85546875" style="14" customWidth="1"/>
    <col min="5127" max="5127" width="17" style="14" customWidth="1"/>
    <col min="5128" max="5128" width="17.42578125" style="14" customWidth="1"/>
    <col min="5129" max="5129" width="13" style="14" customWidth="1"/>
    <col min="5130" max="5130" width="12.28515625" style="14" customWidth="1"/>
    <col min="5131" max="5131" width="19.28515625" style="14" customWidth="1"/>
    <col min="5132" max="5132" width="16.5703125" style="14" customWidth="1"/>
    <col min="5133" max="5133" width="16.28515625" style="14" customWidth="1"/>
    <col min="5134" max="5134" width="18.7109375" style="14" customWidth="1"/>
    <col min="5135" max="5135" width="12.28515625" style="14" customWidth="1"/>
    <col min="5136" max="5136" width="12.140625" style="14" customWidth="1"/>
    <col min="5137" max="5137" width="19.28515625" style="14" customWidth="1"/>
    <col min="5138" max="5138" width="15.7109375" style="14" customWidth="1"/>
    <col min="5139" max="5139" width="17.7109375" style="14" customWidth="1"/>
    <col min="5140" max="5360" width="9.140625" style="14"/>
    <col min="5361" max="5361" width="21.5703125" style="14" customWidth="1"/>
    <col min="5362" max="5362" width="15.28515625" style="14" customWidth="1"/>
    <col min="5363" max="5363" width="10.85546875" style="14" customWidth="1"/>
    <col min="5364" max="5364" width="10" style="14" customWidth="1"/>
    <col min="5365" max="5365" width="10.7109375" style="14" customWidth="1"/>
    <col min="5366" max="5366" width="12.7109375" style="14" customWidth="1"/>
    <col min="5367" max="5369" width="12.28515625" style="14" customWidth="1"/>
    <col min="5370" max="5370" width="16" style="14" customWidth="1"/>
    <col min="5371" max="5375" width="18" style="14" customWidth="1"/>
    <col min="5376" max="5376" width="15.7109375" style="14" customWidth="1"/>
    <col min="5377" max="5377" width="14.28515625" style="14" customWidth="1"/>
    <col min="5378" max="5378" width="16.28515625" style="14" customWidth="1"/>
    <col min="5379" max="5379" width="12.5703125" style="14" customWidth="1"/>
    <col min="5380" max="5380" width="11.85546875" style="14" customWidth="1"/>
    <col min="5381" max="5381" width="19.28515625" style="14" customWidth="1"/>
    <col min="5382" max="5382" width="16.85546875" style="14" customWidth="1"/>
    <col min="5383" max="5383" width="17" style="14" customWidth="1"/>
    <col min="5384" max="5384" width="17.42578125" style="14" customWidth="1"/>
    <col min="5385" max="5385" width="13" style="14" customWidth="1"/>
    <col min="5386" max="5386" width="12.28515625" style="14" customWidth="1"/>
    <col min="5387" max="5387" width="19.28515625" style="14" customWidth="1"/>
    <col min="5388" max="5388" width="16.5703125" style="14" customWidth="1"/>
    <col min="5389" max="5389" width="16.28515625" style="14" customWidth="1"/>
    <col min="5390" max="5390" width="18.7109375" style="14" customWidth="1"/>
    <col min="5391" max="5391" width="12.28515625" style="14" customWidth="1"/>
    <col min="5392" max="5392" width="12.140625" style="14" customWidth="1"/>
    <col min="5393" max="5393" width="19.28515625" style="14" customWidth="1"/>
    <col min="5394" max="5394" width="15.7109375" style="14" customWidth="1"/>
    <col min="5395" max="5395" width="17.7109375" style="14" customWidth="1"/>
    <col min="5396" max="5616" width="9.140625" style="14"/>
    <col min="5617" max="5617" width="21.5703125" style="14" customWidth="1"/>
    <col min="5618" max="5618" width="15.28515625" style="14" customWidth="1"/>
    <col min="5619" max="5619" width="10.85546875" style="14" customWidth="1"/>
    <col min="5620" max="5620" width="10" style="14" customWidth="1"/>
    <col min="5621" max="5621" width="10.7109375" style="14" customWidth="1"/>
    <col min="5622" max="5622" width="12.7109375" style="14" customWidth="1"/>
    <col min="5623" max="5625" width="12.28515625" style="14" customWidth="1"/>
    <col min="5626" max="5626" width="16" style="14" customWidth="1"/>
    <col min="5627" max="5631" width="18" style="14" customWidth="1"/>
    <col min="5632" max="5632" width="15.7109375" style="14" customWidth="1"/>
    <col min="5633" max="5633" width="14.28515625" style="14" customWidth="1"/>
    <col min="5634" max="5634" width="16.28515625" style="14" customWidth="1"/>
    <col min="5635" max="5635" width="12.5703125" style="14" customWidth="1"/>
    <col min="5636" max="5636" width="11.85546875" style="14" customWidth="1"/>
    <col min="5637" max="5637" width="19.28515625" style="14" customWidth="1"/>
    <col min="5638" max="5638" width="16.85546875" style="14" customWidth="1"/>
    <col min="5639" max="5639" width="17" style="14" customWidth="1"/>
    <col min="5640" max="5640" width="17.42578125" style="14" customWidth="1"/>
    <col min="5641" max="5641" width="13" style="14" customWidth="1"/>
    <col min="5642" max="5642" width="12.28515625" style="14" customWidth="1"/>
    <col min="5643" max="5643" width="19.28515625" style="14" customWidth="1"/>
    <col min="5644" max="5644" width="16.5703125" style="14" customWidth="1"/>
    <col min="5645" max="5645" width="16.28515625" style="14" customWidth="1"/>
    <col min="5646" max="5646" width="18.7109375" style="14" customWidth="1"/>
    <col min="5647" max="5647" width="12.28515625" style="14" customWidth="1"/>
    <col min="5648" max="5648" width="12.140625" style="14" customWidth="1"/>
    <col min="5649" max="5649" width="19.28515625" style="14" customWidth="1"/>
    <col min="5650" max="5650" width="15.7109375" style="14" customWidth="1"/>
    <col min="5651" max="5651" width="17.7109375" style="14" customWidth="1"/>
    <col min="5652" max="5872" width="9.140625" style="14"/>
    <col min="5873" max="5873" width="21.5703125" style="14" customWidth="1"/>
    <col min="5874" max="5874" width="15.28515625" style="14" customWidth="1"/>
    <col min="5875" max="5875" width="10.85546875" style="14" customWidth="1"/>
    <col min="5876" max="5876" width="10" style="14" customWidth="1"/>
    <col min="5877" max="5877" width="10.7109375" style="14" customWidth="1"/>
    <col min="5878" max="5878" width="12.7109375" style="14" customWidth="1"/>
    <col min="5879" max="5881" width="12.28515625" style="14" customWidth="1"/>
    <col min="5882" max="5882" width="16" style="14" customWidth="1"/>
    <col min="5883" max="5887" width="18" style="14" customWidth="1"/>
    <col min="5888" max="5888" width="15.7109375" style="14" customWidth="1"/>
    <col min="5889" max="5889" width="14.28515625" style="14" customWidth="1"/>
    <col min="5890" max="5890" width="16.28515625" style="14" customWidth="1"/>
    <col min="5891" max="5891" width="12.5703125" style="14" customWidth="1"/>
    <col min="5892" max="5892" width="11.85546875" style="14" customWidth="1"/>
    <col min="5893" max="5893" width="19.28515625" style="14" customWidth="1"/>
    <col min="5894" max="5894" width="16.85546875" style="14" customWidth="1"/>
    <col min="5895" max="5895" width="17" style="14" customWidth="1"/>
    <col min="5896" max="5896" width="17.42578125" style="14" customWidth="1"/>
    <col min="5897" max="5897" width="13" style="14" customWidth="1"/>
    <col min="5898" max="5898" width="12.28515625" style="14" customWidth="1"/>
    <col min="5899" max="5899" width="19.28515625" style="14" customWidth="1"/>
    <col min="5900" max="5900" width="16.5703125" style="14" customWidth="1"/>
    <col min="5901" max="5901" width="16.28515625" style="14" customWidth="1"/>
    <col min="5902" max="5902" width="18.7109375" style="14" customWidth="1"/>
    <col min="5903" max="5903" width="12.28515625" style="14" customWidth="1"/>
    <col min="5904" max="5904" width="12.140625" style="14" customWidth="1"/>
    <col min="5905" max="5905" width="19.28515625" style="14" customWidth="1"/>
    <col min="5906" max="5906" width="15.7109375" style="14" customWidth="1"/>
    <col min="5907" max="5907" width="17.7109375" style="14" customWidth="1"/>
    <col min="5908" max="6128" width="9.140625" style="14"/>
    <col min="6129" max="6129" width="21.5703125" style="14" customWidth="1"/>
    <col min="6130" max="6130" width="15.28515625" style="14" customWidth="1"/>
    <col min="6131" max="6131" width="10.85546875" style="14" customWidth="1"/>
    <col min="6132" max="6132" width="10" style="14" customWidth="1"/>
    <col min="6133" max="6133" width="10.7109375" style="14" customWidth="1"/>
    <col min="6134" max="6134" width="12.7109375" style="14" customWidth="1"/>
    <col min="6135" max="6137" width="12.28515625" style="14" customWidth="1"/>
    <col min="6138" max="6138" width="16" style="14" customWidth="1"/>
    <col min="6139" max="6143" width="18" style="14" customWidth="1"/>
    <col min="6144" max="6144" width="15.7109375" style="14" customWidth="1"/>
    <col min="6145" max="6145" width="14.28515625" style="14" customWidth="1"/>
    <col min="6146" max="6146" width="16.28515625" style="14" customWidth="1"/>
    <col min="6147" max="6147" width="12.5703125" style="14" customWidth="1"/>
    <col min="6148" max="6148" width="11.85546875" style="14" customWidth="1"/>
    <col min="6149" max="6149" width="19.28515625" style="14" customWidth="1"/>
    <col min="6150" max="6150" width="16.85546875" style="14" customWidth="1"/>
    <col min="6151" max="6151" width="17" style="14" customWidth="1"/>
    <col min="6152" max="6152" width="17.42578125" style="14" customWidth="1"/>
    <col min="6153" max="6153" width="13" style="14" customWidth="1"/>
    <col min="6154" max="6154" width="12.28515625" style="14" customWidth="1"/>
    <col min="6155" max="6155" width="19.28515625" style="14" customWidth="1"/>
    <col min="6156" max="6156" width="16.5703125" style="14" customWidth="1"/>
    <col min="6157" max="6157" width="16.28515625" style="14" customWidth="1"/>
    <col min="6158" max="6158" width="18.7109375" style="14" customWidth="1"/>
    <col min="6159" max="6159" width="12.28515625" style="14" customWidth="1"/>
    <col min="6160" max="6160" width="12.140625" style="14" customWidth="1"/>
    <col min="6161" max="6161" width="19.28515625" style="14" customWidth="1"/>
    <col min="6162" max="6162" width="15.7109375" style="14" customWidth="1"/>
    <col min="6163" max="6163" width="17.7109375" style="14" customWidth="1"/>
    <col min="6164" max="6384" width="9.140625" style="14"/>
    <col min="6385" max="6385" width="21.5703125" style="14" customWidth="1"/>
    <col min="6386" max="6386" width="15.28515625" style="14" customWidth="1"/>
    <col min="6387" max="6387" width="10.85546875" style="14" customWidth="1"/>
    <col min="6388" max="6388" width="10" style="14" customWidth="1"/>
    <col min="6389" max="6389" width="10.7109375" style="14" customWidth="1"/>
    <col min="6390" max="6390" width="12.7109375" style="14" customWidth="1"/>
    <col min="6391" max="6393" width="12.28515625" style="14" customWidth="1"/>
    <col min="6394" max="6394" width="16" style="14" customWidth="1"/>
    <col min="6395" max="6399" width="18" style="14" customWidth="1"/>
    <col min="6400" max="6400" width="15.7109375" style="14" customWidth="1"/>
    <col min="6401" max="6401" width="14.28515625" style="14" customWidth="1"/>
    <col min="6402" max="6402" width="16.28515625" style="14" customWidth="1"/>
    <col min="6403" max="6403" width="12.5703125" style="14" customWidth="1"/>
    <col min="6404" max="6404" width="11.85546875" style="14" customWidth="1"/>
    <col min="6405" max="6405" width="19.28515625" style="14" customWidth="1"/>
    <col min="6406" max="6406" width="16.85546875" style="14" customWidth="1"/>
    <col min="6407" max="6407" width="17" style="14" customWidth="1"/>
    <col min="6408" max="6408" width="17.42578125" style="14" customWidth="1"/>
    <col min="6409" max="6409" width="13" style="14" customWidth="1"/>
    <col min="6410" max="6410" width="12.28515625" style="14" customWidth="1"/>
    <col min="6411" max="6411" width="19.28515625" style="14" customWidth="1"/>
    <col min="6412" max="6412" width="16.5703125" style="14" customWidth="1"/>
    <col min="6413" max="6413" width="16.28515625" style="14" customWidth="1"/>
    <col min="6414" max="6414" width="18.7109375" style="14" customWidth="1"/>
    <col min="6415" max="6415" width="12.28515625" style="14" customWidth="1"/>
    <col min="6416" max="6416" width="12.140625" style="14" customWidth="1"/>
    <col min="6417" max="6417" width="19.28515625" style="14" customWidth="1"/>
    <col min="6418" max="6418" width="15.7109375" style="14" customWidth="1"/>
    <col min="6419" max="6419" width="17.7109375" style="14" customWidth="1"/>
    <col min="6420" max="6640" width="9.140625" style="14"/>
    <col min="6641" max="6641" width="21.5703125" style="14" customWidth="1"/>
    <col min="6642" max="6642" width="15.28515625" style="14" customWidth="1"/>
    <col min="6643" max="6643" width="10.85546875" style="14" customWidth="1"/>
    <col min="6644" max="6644" width="10" style="14" customWidth="1"/>
    <col min="6645" max="6645" width="10.7109375" style="14" customWidth="1"/>
    <col min="6646" max="6646" width="12.7109375" style="14" customWidth="1"/>
    <col min="6647" max="6649" width="12.28515625" style="14" customWidth="1"/>
    <col min="6650" max="6650" width="16" style="14" customWidth="1"/>
    <col min="6651" max="6655" width="18" style="14" customWidth="1"/>
    <col min="6656" max="6656" width="15.7109375" style="14" customWidth="1"/>
    <col min="6657" max="6657" width="14.28515625" style="14" customWidth="1"/>
    <col min="6658" max="6658" width="16.28515625" style="14" customWidth="1"/>
    <col min="6659" max="6659" width="12.5703125" style="14" customWidth="1"/>
    <col min="6660" max="6660" width="11.85546875" style="14" customWidth="1"/>
    <col min="6661" max="6661" width="19.28515625" style="14" customWidth="1"/>
    <col min="6662" max="6662" width="16.85546875" style="14" customWidth="1"/>
    <col min="6663" max="6663" width="17" style="14" customWidth="1"/>
    <col min="6664" max="6664" width="17.42578125" style="14" customWidth="1"/>
    <col min="6665" max="6665" width="13" style="14" customWidth="1"/>
    <col min="6666" max="6666" width="12.28515625" style="14" customWidth="1"/>
    <col min="6667" max="6667" width="19.28515625" style="14" customWidth="1"/>
    <col min="6668" max="6668" width="16.5703125" style="14" customWidth="1"/>
    <col min="6669" max="6669" width="16.28515625" style="14" customWidth="1"/>
    <col min="6670" max="6670" width="18.7109375" style="14" customWidth="1"/>
    <col min="6671" max="6671" width="12.28515625" style="14" customWidth="1"/>
    <col min="6672" max="6672" width="12.140625" style="14" customWidth="1"/>
    <col min="6673" max="6673" width="19.28515625" style="14" customWidth="1"/>
    <col min="6674" max="6674" width="15.7109375" style="14" customWidth="1"/>
    <col min="6675" max="6675" width="17.7109375" style="14" customWidth="1"/>
    <col min="6676" max="6896" width="9.140625" style="14"/>
    <col min="6897" max="6897" width="21.5703125" style="14" customWidth="1"/>
    <col min="6898" max="6898" width="15.28515625" style="14" customWidth="1"/>
    <col min="6899" max="6899" width="10.85546875" style="14" customWidth="1"/>
    <col min="6900" max="6900" width="10" style="14" customWidth="1"/>
    <col min="6901" max="6901" width="10.7109375" style="14" customWidth="1"/>
    <col min="6902" max="6902" width="12.7109375" style="14" customWidth="1"/>
    <col min="6903" max="6905" width="12.28515625" style="14" customWidth="1"/>
    <col min="6906" max="6906" width="16" style="14" customWidth="1"/>
    <col min="6907" max="6911" width="18" style="14" customWidth="1"/>
    <col min="6912" max="6912" width="15.7109375" style="14" customWidth="1"/>
    <col min="6913" max="6913" width="14.28515625" style="14" customWidth="1"/>
    <col min="6914" max="6914" width="16.28515625" style="14" customWidth="1"/>
    <col min="6915" max="6915" width="12.5703125" style="14" customWidth="1"/>
    <col min="6916" max="6916" width="11.85546875" style="14" customWidth="1"/>
    <col min="6917" max="6917" width="19.28515625" style="14" customWidth="1"/>
    <col min="6918" max="6918" width="16.85546875" style="14" customWidth="1"/>
    <col min="6919" max="6919" width="17" style="14" customWidth="1"/>
    <col min="6920" max="6920" width="17.42578125" style="14" customWidth="1"/>
    <col min="6921" max="6921" width="13" style="14" customWidth="1"/>
    <col min="6922" max="6922" width="12.28515625" style="14" customWidth="1"/>
    <col min="6923" max="6923" width="19.28515625" style="14" customWidth="1"/>
    <col min="6924" max="6924" width="16.5703125" style="14" customWidth="1"/>
    <col min="6925" max="6925" width="16.28515625" style="14" customWidth="1"/>
    <col min="6926" max="6926" width="18.7109375" style="14" customWidth="1"/>
    <col min="6927" max="6927" width="12.28515625" style="14" customWidth="1"/>
    <col min="6928" max="6928" width="12.140625" style="14" customWidth="1"/>
    <col min="6929" max="6929" width="19.28515625" style="14" customWidth="1"/>
    <col min="6930" max="6930" width="15.7109375" style="14" customWidth="1"/>
    <col min="6931" max="6931" width="17.7109375" style="14" customWidth="1"/>
    <col min="6932" max="7152" width="9.140625" style="14"/>
    <col min="7153" max="7153" width="21.5703125" style="14" customWidth="1"/>
    <col min="7154" max="7154" width="15.28515625" style="14" customWidth="1"/>
    <col min="7155" max="7155" width="10.85546875" style="14" customWidth="1"/>
    <col min="7156" max="7156" width="10" style="14" customWidth="1"/>
    <col min="7157" max="7157" width="10.7109375" style="14" customWidth="1"/>
    <col min="7158" max="7158" width="12.7109375" style="14" customWidth="1"/>
    <col min="7159" max="7161" width="12.28515625" style="14" customWidth="1"/>
    <col min="7162" max="7162" width="16" style="14" customWidth="1"/>
    <col min="7163" max="7167" width="18" style="14" customWidth="1"/>
    <col min="7168" max="7168" width="15.7109375" style="14" customWidth="1"/>
    <col min="7169" max="7169" width="14.28515625" style="14" customWidth="1"/>
    <col min="7170" max="7170" width="16.28515625" style="14" customWidth="1"/>
    <col min="7171" max="7171" width="12.5703125" style="14" customWidth="1"/>
    <col min="7172" max="7172" width="11.85546875" style="14" customWidth="1"/>
    <col min="7173" max="7173" width="19.28515625" style="14" customWidth="1"/>
    <col min="7174" max="7174" width="16.85546875" style="14" customWidth="1"/>
    <col min="7175" max="7175" width="17" style="14" customWidth="1"/>
    <col min="7176" max="7176" width="17.42578125" style="14" customWidth="1"/>
    <col min="7177" max="7177" width="13" style="14" customWidth="1"/>
    <col min="7178" max="7178" width="12.28515625" style="14" customWidth="1"/>
    <col min="7179" max="7179" width="19.28515625" style="14" customWidth="1"/>
    <col min="7180" max="7180" width="16.5703125" style="14" customWidth="1"/>
    <col min="7181" max="7181" width="16.28515625" style="14" customWidth="1"/>
    <col min="7182" max="7182" width="18.7109375" style="14" customWidth="1"/>
    <col min="7183" max="7183" width="12.28515625" style="14" customWidth="1"/>
    <col min="7184" max="7184" width="12.140625" style="14" customWidth="1"/>
    <col min="7185" max="7185" width="19.28515625" style="14" customWidth="1"/>
    <col min="7186" max="7186" width="15.7109375" style="14" customWidth="1"/>
    <col min="7187" max="7187" width="17.7109375" style="14" customWidth="1"/>
    <col min="7188" max="7408" width="9.140625" style="14"/>
    <col min="7409" max="7409" width="21.5703125" style="14" customWidth="1"/>
    <col min="7410" max="7410" width="15.28515625" style="14" customWidth="1"/>
    <col min="7411" max="7411" width="10.85546875" style="14" customWidth="1"/>
    <col min="7412" max="7412" width="10" style="14" customWidth="1"/>
    <col min="7413" max="7413" width="10.7109375" style="14" customWidth="1"/>
    <col min="7414" max="7414" width="12.7109375" style="14" customWidth="1"/>
    <col min="7415" max="7417" width="12.28515625" style="14" customWidth="1"/>
    <col min="7418" max="7418" width="16" style="14" customWidth="1"/>
    <col min="7419" max="7423" width="18" style="14" customWidth="1"/>
    <col min="7424" max="7424" width="15.7109375" style="14" customWidth="1"/>
    <col min="7425" max="7425" width="14.28515625" style="14" customWidth="1"/>
    <col min="7426" max="7426" width="16.28515625" style="14" customWidth="1"/>
    <col min="7427" max="7427" width="12.5703125" style="14" customWidth="1"/>
    <col min="7428" max="7428" width="11.85546875" style="14" customWidth="1"/>
    <col min="7429" max="7429" width="19.28515625" style="14" customWidth="1"/>
    <col min="7430" max="7430" width="16.85546875" style="14" customWidth="1"/>
    <col min="7431" max="7431" width="17" style="14" customWidth="1"/>
    <col min="7432" max="7432" width="17.42578125" style="14" customWidth="1"/>
    <col min="7433" max="7433" width="13" style="14" customWidth="1"/>
    <col min="7434" max="7434" width="12.28515625" style="14" customWidth="1"/>
    <col min="7435" max="7435" width="19.28515625" style="14" customWidth="1"/>
    <col min="7436" max="7436" width="16.5703125" style="14" customWidth="1"/>
    <col min="7437" max="7437" width="16.28515625" style="14" customWidth="1"/>
    <col min="7438" max="7438" width="18.7109375" style="14" customWidth="1"/>
    <col min="7439" max="7439" width="12.28515625" style="14" customWidth="1"/>
    <col min="7440" max="7440" width="12.140625" style="14" customWidth="1"/>
    <col min="7441" max="7441" width="19.28515625" style="14" customWidth="1"/>
    <col min="7442" max="7442" width="15.7109375" style="14" customWidth="1"/>
    <col min="7443" max="7443" width="17.7109375" style="14" customWidth="1"/>
    <col min="7444" max="7664" width="9.140625" style="14"/>
    <col min="7665" max="7665" width="21.5703125" style="14" customWidth="1"/>
    <col min="7666" max="7666" width="15.28515625" style="14" customWidth="1"/>
    <col min="7667" max="7667" width="10.85546875" style="14" customWidth="1"/>
    <col min="7668" max="7668" width="10" style="14" customWidth="1"/>
    <col min="7669" max="7669" width="10.7109375" style="14" customWidth="1"/>
    <col min="7670" max="7670" width="12.7109375" style="14" customWidth="1"/>
    <col min="7671" max="7673" width="12.28515625" style="14" customWidth="1"/>
    <col min="7674" max="7674" width="16" style="14" customWidth="1"/>
    <col min="7675" max="7679" width="18" style="14" customWidth="1"/>
    <col min="7680" max="7680" width="15.7109375" style="14" customWidth="1"/>
    <col min="7681" max="7681" width="14.28515625" style="14" customWidth="1"/>
    <col min="7682" max="7682" width="16.28515625" style="14" customWidth="1"/>
    <col min="7683" max="7683" width="12.5703125" style="14" customWidth="1"/>
    <col min="7684" max="7684" width="11.85546875" style="14" customWidth="1"/>
    <col min="7685" max="7685" width="19.28515625" style="14" customWidth="1"/>
    <col min="7686" max="7686" width="16.85546875" style="14" customWidth="1"/>
    <col min="7687" max="7687" width="17" style="14" customWidth="1"/>
    <col min="7688" max="7688" width="17.42578125" style="14" customWidth="1"/>
    <col min="7689" max="7689" width="13" style="14" customWidth="1"/>
    <col min="7690" max="7690" width="12.28515625" style="14" customWidth="1"/>
    <col min="7691" max="7691" width="19.28515625" style="14" customWidth="1"/>
    <col min="7692" max="7692" width="16.5703125" style="14" customWidth="1"/>
    <col min="7693" max="7693" width="16.28515625" style="14" customWidth="1"/>
    <col min="7694" max="7694" width="18.7109375" style="14" customWidth="1"/>
    <col min="7695" max="7695" width="12.28515625" style="14" customWidth="1"/>
    <col min="7696" max="7696" width="12.140625" style="14" customWidth="1"/>
    <col min="7697" max="7697" width="19.28515625" style="14" customWidth="1"/>
    <col min="7698" max="7698" width="15.7109375" style="14" customWidth="1"/>
    <col min="7699" max="7699" width="17.7109375" style="14" customWidth="1"/>
    <col min="7700" max="7920" width="9.140625" style="14"/>
    <col min="7921" max="7921" width="21.5703125" style="14" customWidth="1"/>
    <col min="7922" max="7922" width="15.28515625" style="14" customWidth="1"/>
    <col min="7923" max="7923" width="10.85546875" style="14" customWidth="1"/>
    <col min="7924" max="7924" width="10" style="14" customWidth="1"/>
    <col min="7925" max="7925" width="10.7109375" style="14" customWidth="1"/>
    <col min="7926" max="7926" width="12.7109375" style="14" customWidth="1"/>
    <col min="7927" max="7929" width="12.28515625" style="14" customWidth="1"/>
    <col min="7930" max="7930" width="16" style="14" customWidth="1"/>
    <col min="7931" max="7935" width="18" style="14" customWidth="1"/>
    <col min="7936" max="7936" width="15.7109375" style="14" customWidth="1"/>
    <col min="7937" max="7937" width="14.28515625" style="14" customWidth="1"/>
    <col min="7938" max="7938" width="16.28515625" style="14" customWidth="1"/>
    <col min="7939" max="7939" width="12.5703125" style="14" customWidth="1"/>
    <col min="7940" max="7940" width="11.85546875" style="14" customWidth="1"/>
    <col min="7941" max="7941" width="19.28515625" style="14" customWidth="1"/>
    <col min="7942" max="7942" width="16.85546875" style="14" customWidth="1"/>
    <col min="7943" max="7943" width="17" style="14" customWidth="1"/>
    <col min="7944" max="7944" width="17.42578125" style="14" customWidth="1"/>
    <col min="7945" max="7945" width="13" style="14" customWidth="1"/>
    <col min="7946" max="7946" width="12.28515625" style="14" customWidth="1"/>
    <col min="7947" max="7947" width="19.28515625" style="14" customWidth="1"/>
    <col min="7948" max="7948" width="16.5703125" style="14" customWidth="1"/>
    <col min="7949" max="7949" width="16.28515625" style="14" customWidth="1"/>
    <col min="7950" max="7950" width="18.7109375" style="14" customWidth="1"/>
    <col min="7951" max="7951" width="12.28515625" style="14" customWidth="1"/>
    <col min="7952" max="7952" width="12.140625" style="14" customWidth="1"/>
    <col min="7953" max="7953" width="19.28515625" style="14" customWidth="1"/>
    <col min="7954" max="7954" width="15.7109375" style="14" customWidth="1"/>
    <col min="7955" max="7955" width="17.7109375" style="14" customWidth="1"/>
    <col min="7956" max="8176" width="9.140625" style="14"/>
    <col min="8177" max="8177" width="21.5703125" style="14" customWidth="1"/>
    <col min="8178" max="8178" width="15.28515625" style="14" customWidth="1"/>
    <col min="8179" max="8179" width="10.85546875" style="14" customWidth="1"/>
    <col min="8180" max="8180" width="10" style="14" customWidth="1"/>
    <col min="8181" max="8181" width="10.7109375" style="14" customWidth="1"/>
    <col min="8182" max="8182" width="12.7109375" style="14" customWidth="1"/>
    <col min="8183" max="8185" width="12.28515625" style="14" customWidth="1"/>
    <col min="8186" max="8186" width="16" style="14" customWidth="1"/>
    <col min="8187" max="8191" width="18" style="14" customWidth="1"/>
    <col min="8192" max="8192" width="15.7109375" style="14" customWidth="1"/>
    <col min="8193" max="8193" width="14.28515625" style="14" customWidth="1"/>
    <col min="8194" max="8194" width="16.28515625" style="14" customWidth="1"/>
    <col min="8195" max="8195" width="12.5703125" style="14" customWidth="1"/>
    <col min="8196" max="8196" width="11.85546875" style="14" customWidth="1"/>
    <col min="8197" max="8197" width="19.28515625" style="14" customWidth="1"/>
    <col min="8198" max="8198" width="16.85546875" style="14" customWidth="1"/>
    <col min="8199" max="8199" width="17" style="14" customWidth="1"/>
    <col min="8200" max="8200" width="17.42578125" style="14" customWidth="1"/>
    <col min="8201" max="8201" width="13" style="14" customWidth="1"/>
    <col min="8202" max="8202" width="12.28515625" style="14" customWidth="1"/>
    <col min="8203" max="8203" width="19.28515625" style="14" customWidth="1"/>
    <col min="8204" max="8204" width="16.5703125" style="14" customWidth="1"/>
    <col min="8205" max="8205" width="16.28515625" style="14" customWidth="1"/>
    <col min="8206" max="8206" width="18.7109375" style="14" customWidth="1"/>
    <col min="8207" max="8207" width="12.28515625" style="14" customWidth="1"/>
    <col min="8208" max="8208" width="12.140625" style="14" customWidth="1"/>
    <col min="8209" max="8209" width="19.28515625" style="14" customWidth="1"/>
    <col min="8210" max="8210" width="15.7109375" style="14" customWidth="1"/>
    <col min="8211" max="8211" width="17.7109375" style="14" customWidth="1"/>
    <col min="8212" max="8432" width="9.140625" style="14"/>
    <col min="8433" max="8433" width="21.5703125" style="14" customWidth="1"/>
    <col min="8434" max="8434" width="15.28515625" style="14" customWidth="1"/>
    <col min="8435" max="8435" width="10.85546875" style="14" customWidth="1"/>
    <col min="8436" max="8436" width="10" style="14" customWidth="1"/>
    <col min="8437" max="8437" width="10.7109375" style="14" customWidth="1"/>
    <col min="8438" max="8438" width="12.7109375" style="14" customWidth="1"/>
    <col min="8439" max="8441" width="12.28515625" style="14" customWidth="1"/>
    <col min="8442" max="8442" width="16" style="14" customWidth="1"/>
    <col min="8443" max="8447" width="18" style="14" customWidth="1"/>
    <col min="8448" max="8448" width="15.7109375" style="14" customWidth="1"/>
    <col min="8449" max="8449" width="14.28515625" style="14" customWidth="1"/>
    <col min="8450" max="8450" width="16.28515625" style="14" customWidth="1"/>
    <col min="8451" max="8451" width="12.5703125" style="14" customWidth="1"/>
    <col min="8452" max="8452" width="11.85546875" style="14" customWidth="1"/>
    <col min="8453" max="8453" width="19.28515625" style="14" customWidth="1"/>
    <col min="8454" max="8454" width="16.85546875" style="14" customWidth="1"/>
    <col min="8455" max="8455" width="17" style="14" customWidth="1"/>
    <col min="8456" max="8456" width="17.42578125" style="14" customWidth="1"/>
    <col min="8457" max="8457" width="13" style="14" customWidth="1"/>
    <col min="8458" max="8458" width="12.28515625" style="14" customWidth="1"/>
    <col min="8459" max="8459" width="19.28515625" style="14" customWidth="1"/>
    <col min="8460" max="8460" width="16.5703125" style="14" customWidth="1"/>
    <col min="8461" max="8461" width="16.28515625" style="14" customWidth="1"/>
    <col min="8462" max="8462" width="18.7109375" style="14" customWidth="1"/>
    <col min="8463" max="8463" width="12.28515625" style="14" customWidth="1"/>
    <col min="8464" max="8464" width="12.140625" style="14" customWidth="1"/>
    <col min="8465" max="8465" width="19.28515625" style="14" customWidth="1"/>
    <col min="8466" max="8466" width="15.7109375" style="14" customWidth="1"/>
    <col min="8467" max="8467" width="17.7109375" style="14" customWidth="1"/>
    <col min="8468" max="8688" width="9.140625" style="14"/>
    <col min="8689" max="8689" width="21.5703125" style="14" customWidth="1"/>
    <col min="8690" max="8690" width="15.28515625" style="14" customWidth="1"/>
    <col min="8691" max="8691" width="10.85546875" style="14" customWidth="1"/>
    <col min="8692" max="8692" width="10" style="14" customWidth="1"/>
    <col min="8693" max="8693" width="10.7109375" style="14" customWidth="1"/>
    <col min="8694" max="8694" width="12.7109375" style="14" customWidth="1"/>
    <col min="8695" max="8697" width="12.28515625" style="14" customWidth="1"/>
    <col min="8698" max="8698" width="16" style="14" customWidth="1"/>
    <col min="8699" max="8703" width="18" style="14" customWidth="1"/>
    <col min="8704" max="8704" width="15.7109375" style="14" customWidth="1"/>
    <col min="8705" max="8705" width="14.28515625" style="14" customWidth="1"/>
    <col min="8706" max="8706" width="16.28515625" style="14" customWidth="1"/>
    <col min="8707" max="8707" width="12.5703125" style="14" customWidth="1"/>
    <col min="8708" max="8708" width="11.85546875" style="14" customWidth="1"/>
    <col min="8709" max="8709" width="19.28515625" style="14" customWidth="1"/>
    <col min="8710" max="8710" width="16.85546875" style="14" customWidth="1"/>
    <col min="8711" max="8711" width="17" style="14" customWidth="1"/>
    <col min="8712" max="8712" width="17.42578125" style="14" customWidth="1"/>
    <col min="8713" max="8713" width="13" style="14" customWidth="1"/>
    <col min="8714" max="8714" width="12.28515625" style="14" customWidth="1"/>
    <col min="8715" max="8715" width="19.28515625" style="14" customWidth="1"/>
    <col min="8716" max="8716" width="16.5703125" style="14" customWidth="1"/>
    <col min="8717" max="8717" width="16.28515625" style="14" customWidth="1"/>
    <col min="8718" max="8718" width="18.7109375" style="14" customWidth="1"/>
    <col min="8719" max="8719" width="12.28515625" style="14" customWidth="1"/>
    <col min="8720" max="8720" width="12.140625" style="14" customWidth="1"/>
    <col min="8721" max="8721" width="19.28515625" style="14" customWidth="1"/>
    <col min="8722" max="8722" width="15.7109375" style="14" customWidth="1"/>
    <col min="8723" max="8723" width="17.7109375" style="14" customWidth="1"/>
    <col min="8724" max="8944" width="9.140625" style="14"/>
    <col min="8945" max="8945" width="21.5703125" style="14" customWidth="1"/>
    <col min="8946" max="8946" width="15.28515625" style="14" customWidth="1"/>
    <col min="8947" max="8947" width="10.85546875" style="14" customWidth="1"/>
    <col min="8948" max="8948" width="10" style="14" customWidth="1"/>
    <col min="8949" max="8949" width="10.7109375" style="14" customWidth="1"/>
    <col min="8950" max="8950" width="12.7109375" style="14" customWidth="1"/>
    <col min="8951" max="8953" width="12.28515625" style="14" customWidth="1"/>
    <col min="8954" max="8954" width="16" style="14" customWidth="1"/>
    <col min="8955" max="8959" width="18" style="14" customWidth="1"/>
    <col min="8960" max="8960" width="15.7109375" style="14" customWidth="1"/>
    <col min="8961" max="8961" width="14.28515625" style="14" customWidth="1"/>
    <col min="8962" max="8962" width="16.28515625" style="14" customWidth="1"/>
    <col min="8963" max="8963" width="12.5703125" style="14" customWidth="1"/>
    <col min="8964" max="8964" width="11.85546875" style="14" customWidth="1"/>
    <col min="8965" max="8965" width="19.28515625" style="14" customWidth="1"/>
    <col min="8966" max="8966" width="16.85546875" style="14" customWidth="1"/>
    <col min="8967" max="8967" width="17" style="14" customWidth="1"/>
    <col min="8968" max="8968" width="17.42578125" style="14" customWidth="1"/>
    <col min="8969" max="8969" width="13" style="14" customWidth="1"/>
    <col min="8970" max="8970" width="12.28515625" style="14" customWidth="1"/>
    <col min="8971" max="8971" width="19.28515625" style="14" customWidth="1"/>
    <col min="8972" max="8972" width="16.5703125" style="14" customWidth="1"/>
    <col min="8973" max="8973" width="16.28515625" style="14" customWidth="1"/>
    <col min="8974" max="8974" width="18.7109375" style="14" customWidth="1"/>
    <col min="8975" max="8975" width="12.28515625" style="14" customWidth="1"/>
    <col min="8976" max="8976" width="12.140625" style="14" customWidth="1"/>
    <col min="8977" max="8977" width="19.28515625" style="14" customWidth="1"/>
    <col min="8978" max="8978" width="15.7109375" style="14" customWidth="1"/>
    <col min="8979" max="8979" width="17.7109375" style="14" customWidth="1"/>
    <col min="8980" max="9200" width="9.140625" style="14"/>
    <col min="9201" max="9201" width="21.5703125" style="14" customWidth="1"/>
    <col min="9202" max="9202" width="15.28515625" style="14" customWidth="1"/>
    <col min="9203" max="9203" width="10.85546875" style="14" customWidth="1"/>
    <col min="9204" max="9204" width="10" style="14" customWidth="1"/>
    <col min="9205" max="9205" width="10.7109375" style="14" customWidth="1"/>
    <col min="9206" max="9206" width="12.7109375" style="14" customWidth="1"/>
    <col min="9207" max="9209" width="12.28515625" style="14" customWidth="1"/>
    <col min="9210" max="9210" width="16" style="14" customWidth="1"/>
    <col min="9211" max="9215" width="18" style="14" customWidth="1"/>
    <col min="9216" max="9216" width="15.7109375" style="14" customWidth="1"/>
    <col min="9217" max="9217" width="14.28515625" style="14" customWidth="1"/>
    <col min="9218" max="9218" width="16.28515625" style="14" customWidth="1"/>
    <col min="9219" max="9219" width="12.5703125" style="14" customWidth="1"/>
    <col min="9220" max="9220" width="11.85546875" style="14" customWidth="1"/>
    <col min="9221" max="9221" width="19.28515625" style="14" customWidth="1"/>
    <col min="9222" max="9222" width="16.85546875" style="14" customWidth="1"/>
    <col min="9223" max="9223" width="17" style="14" customWidth="1"/>
    <col min="9224" max="9224" width="17.42578125" style="14" customWidth="1"/>
    <col min="9225" max="9225" width="13" style="14" customWidth="1"/>
    <col min="9226" max="9226" width="12.28515625" style="14" customWidth="1"/>
    <col min="9227" max="9227" width="19.28515625" style="14" customWidth="1"/>
    <col min="9228" max="9228" width="16.5703125" style="14" customWidth="1"/>
    <col min="9229" max="9229" width="16.28515625" style="14" customWidth="1"/>
    <col min="9230" max="9230" width="18.7109375" style="14" customWidth="1"/>
    <col min="9231" max="9231" width="12.28515625" style="14" customWidth="1"/>
    <col min="9232" max="9232" width="12.140625" style="14" customWidth="1"/>
    <col min="9233" max="9233" width="19.28515625" style="14" customWidth="1"/>
    <col min="9234" max="9234" width="15.7109375" style="14" customWidth="1"/>
    <col min="9235" max="9235" width="17.7109375" style="14" customWidth="1"/>
    <col min="9236" max="9456" width="9.140625" style="14"/>
    <col min="9457" max="9457" width="21.5703125" style="14" customWidth="1"/>
    <col min="9458" max="9458" width="15.28515625" style="14" customWidth="1"/>
    <col min="9459" max="9459" width="10.85546875" style="14" customWidth="1"/>
    <col min="9460" max="9460" width="10" style="14" customWidth="1"/>
    <col min="9461" max="9461" width="10.7109375" style="14" customWidth="1"/>
    <col min="9462" max="9462" width="12.7109375" style="14" customWidth="1"/>
    <col min="9463" max="9465" width="12.28515625" style="14" customWidth="1"/>
    <col min="9466" max="9466" width="16" style="14" customWidth="1"/>
    <col min="9467" max="9471" width="18" style="14" customWidth="1"/>
    <col min="9472" max="9472" width="15.7109375" style="14" customWidth="1"/>
    <col min="9473" max="9473" width="14.28515625" style="14" customWidth="1"/>
    <col min="9474" max="9474" width="16.28515625" style="14" customWidth="1"/>
    <col min="9475" max="9475" width="12.5703125" style="14" customWidth="1"/>
    <col min="9476" max="9476" width="11.85546875" style="14" customWidth="1"/>
    <col min="9477" max="9477" width="19.28515625" style="14" customWidth="1"/>
    <col min="9478" max="9478" width="16.85546875" style="14" customWidth="1"/>
    <col min="9479" max="9479" width="17" style="14" customWidth="1"/>
    <col min="9480" max="9480" width="17.42578125" style="14" customWidth="1"/>
    <col min="9481" max="9481" width="13" style="14" customWidth="1"/>
    <col min="9482" max="9482" width="12.28515625" style="14" customWidth="1"/>
    <col min="9483" max="9483" width="19.28515625" style="14" customWidth="1"/>
    <col min="9484" max="9484" width="16.5703125" style="14" customWidth="1"/>
    <col min="9485" max="9485" width="16.28515625" style="14" customWidth="1"/>
    <col min="9486" max="9486" width="18.7109375" style="14" customWidth="1"/>
    <col min="9487" max="9487" width="12.28515625" style="14" customWidth="1"/>
    <col min="9488" max="9488" width="12.140625" style="14" customWidth="1"/>
    <col min="9489" max="9489" width="19.28515625" style="14" customWidth="1"/>
    <col min="9490" max="9490" width="15.7109375" style="14" customWidth="1"/>
    <col min="9491" max="9491" width="17.7109375" style="14" customWidth="1"/>
    <col min="9492" max="9712" width="9.140625" style="14"/>
    <col min="9713" max="9713" width="21.5703125" style="14" customWidth="1"/>
    <col min="9714" max="9714" width="15.28515625" style="14" customWidth="1"/>
    <col min="9715" max="9715" width="10.85546875" style="14" customWidth="1"/>
    <col min="9716" max="9716" width="10" style="14" customWidth="1"/>
    <col min="9717" max="9717" width="10.7109375" style="14" customWidth="1"/>
    <col min="9718" max="9718" width="12.7109375" style="14" customWidth="1"/>
    <col min="9719" max="9721" width="12.28515625" style="14" customWidth="1"/>
    <col min="9722" max="9722" width="16" style="14" customWidth="1"/>
    <col min="9723" max="9727" width="18" style="14" customWidth="1"/>
    <col min="9728" max="9728" width="15.7109375" style="14" customWidth="1"/>
    <col min="9729" max="9729" width="14.28515625" style="14" customWidth="1"/>
    <col min="9730" max="9730" width="16.28515625" style="14" customWidth="1"/>
    <col min="9731" max="9731" width="12.5703125" style="14" customWidth="1"/>
    <col min="9732" max="9732" width="11.85546875" style="14" customWidth="1"/>
    <col min="9733" max="9733" width="19.28515625" style="14" customWidth="1"/>
    <col min="9734" max="9734" width="16.85546875" style="14" customWidth="1"/>
    <col min="9735" max="9735" width="17" style="14" customWidth="1"/>
    <col min="9736" max="9736" width="17.42578125" style="14" customWidth="1"/>
    <col min="9737" max="9737" width="13" style="14" customWidth="1"/>
    <col min="9738" max="9738" width="12.28515625" style="14" customWidth="1"/>
    <col min="9739" max="9739" width="19.28515625" style="14" customWidth="1"/>
    <col min="9740" max="9740" width="16.5703125" style="14" customWidth="1"/>
    <col min="9741" max="9741" width="16.28515625" style="14" customWidth="1"/>
    <col min="9742" max="9742" width="18.7109375" style="14" customWidth="1"/>
    <col min="9743" max="9743" width="12.28515625" style="14" customWidth="1"/>
    <col min="9744" max="9744" width="12.140625" style="14" customWidth="1"/>
    <col min="9745" max="9745" width="19.28515625" style="14" customWidth="1"/>
    <col min="9746" max="9746" width="15.7109375" style="14" customWidth="1"/>
    <col min="9747" max="9747" width="17.7109375" style="14" customWidth="1"/>
    <col min="9748" max="9968" width="9.140625" style="14"/>
    <col min="9969" max="9969" width="21.5703125" style="14" customWidth="1"/>
    <col min="9970" max="9970" width="15.28515625" style="14" customWidth="1"/>
    <col min="9971" max="9971" width="10.85546875" style="14" customWidth="1"/>
    <col min="9972" max="9972" width="10" style="14" customWidth="1"/>
    <col min="9973" max="9973" width="10.7109375" style="14" customWidth="1"/>
    <col min="9974" max="9974" width="12.7109375" style="14" customWidth="1"/>
    <col min="9975" max="9977" width="12.28515625" style="14" customWidth="1"/>
    <col min="9978" max="9978" width="16" style="14" customWidth="1"/>
    <col min="9979" max="9983" width="18" style="14" customWidth="1"/>
    <col min="9984" max="9984" width="15.7109375" style="14" customWidth="1"/>
    <col min="9985" max="9985" width="14.28515625" style="14" customWidth="1"/>
    <col min="9986" max="9986" width="16.28515625" style="14" customWidth="1"/>
    <col min="9987" max="9987" width="12.5703125" style="14" customWidth="1"/>
    <col min="9988" max="9988" width="11.85546875" style="14" customWidth="1"/>
    <col min="9989" max="9989" width="19.28515625" style="14" customWidth="1"/>
    <col min="9990" max="9990" width="16.85546875" style="14" customWidth="1"/>
    <col min="9991" max="9991" width="17" style="14" customWidth="1"/>
    <col min="9992" max="9992" width="17.42578125" style="14" customWidth="1"/>
    <col min="9993" max="9993" width="13" style="14" customWidth="1"/>
    <col min="9994" max="9994" width="12.28515625" style="14" customWidth="1"/>
    <col min="9995" max="9995" width="19.28515625" style="14" customWidth="1"/>
    <col min="9996" max="9996" width="16.5703125" style="14" customWidth="1"/>
    <col min="9997" max="9997" width="16.28515625" style="14" customWidth="1"/>
    <col min="9998" max="9998" width="18.7109375" style="14" customWidth="1"/>
    <col min="9999" max="9999" width="12.28515625" style="14" customWidth="1"/>
    <col min="10000" max="10000" width="12.140625" style="14" customWidth="1"/>
    <col min="10001" max="10001" width="19.28515625" style="14" customWidth="1"/>
    <col min="10002" max="10002" width="15.7109375" style="14" customWidth="1"/>
    <col min="10003" max="10003" width="17.7109375" style="14" customWidth="1"/>
    <col min="10004" max="10224" width="9.140625" style="14"/>
    <col min="10225" max="10225" width="21.5703125" style="14" customWidth="1"/>
    <col min="10226" max="10226" width="15.28515625" style="14" customWidth="1"/>
    <col min="10227" max="10227" width="10.85546875" style="14" customWidth="1"/>
    <col min="10228" max="10228" width="10" style="14" customWidth="1"/>
    <col min="10229" max="10229" width="10.7109375" style="14" customWidth="1"/>
    <col min="10230" max="10230" width="12.7109375" style="14" customWidth="1"/>
    <col min="10231" max="10233" width="12.28515625" style="14" customWidth="1"/>
    <col min="10234" max="10234" width="16" style="14" customWidth="1"/>
    <col min="10235" max="10239" width="18" style="14" customWidth="1"/>
    <col min="10240" max="10240" width="15.7109375" style="14" customWidth="1"/>
    <col min="10241" max="10241" width="14.28515625" style="14" customWidth="1"/>
    <col min="10242" max="10242" width="16.28515625" style="14" customWidth="1"/>
    <col min="10243" max="10243" width="12.5703125" style="14" customWidth="1"/>
    <col min="10244" max="10244" width="11.85546875" style="14" customWidth="1"/>
    <col min="10245" max="10245" width="19.28515625" style="14" customWidth="1"/>
    <col min="10246" max="10246" width="16.85546875" style="14" customWidth="1"/>
    <col min="10247" max="10247" width="17" style="14" customWidth="1"/>
    <col min="10248" max="10248" width="17.42578125" style="14" customWidth="1"/>
    <col min="10249" max="10249" width="13" style="14" customWidth="1"/>
    <col min="10250" max="10250" width="12.28515625" style="14" customWidth="1"/>
    <col min="10251" max="10251" width="19.28515625" style="14" customWidth="1"/>
    <col min="10252" max="10252" width="16.5703125" style="14" customWidth="1"/>
    <col min="10253" max="10253" width="16.28515625" style="14" customWidth="1"/>
    <col min="10254" max="10254" width="18.7109375" style="14" customWidth="1"/>
    <col min="10255" max="10255" width="12.28515625" style="14" customWidth="1"/>
    <col min="10256" max="10256" width="12.140625" style="14" customWidth="1"/>
    <col min="10257" max="10257" width="19.28515625" style="14" customWidth="1"/>
    <col min="10258" max="10258" width="15.7109375" style="14" customWidth="1"/>
    <col min="10259" max="10259" width="17.7109375" style="14" customWidth="1"/>
    <col min="10260" max="10480" width="9.140625" style="14"/>
    <col min="10481" max="10481" width="21.5703125" style="14" customWidth="1"/>
    <col min="10482" max="10482" width="15.28515625" style="14" customWidth="1"/>
    <col min="10483" max="10483" width="10.85546875" style="14" customWidth="1"/>
    <col min="10484" max="10484" width="10" style="14" customWidth="1"/>
    <col min="10485" max="10485" width="10.7109375" style="14" customWidth="1"/>
    <col min="10486" max="10486" width="12.7109375" style="14" customWidth="1"/>
    <col min="10487" max="10489" width="12.28515625" style="14" customWidth="1"/>
    <col min="10490" max="10490" width="16" style="14" customWidth="1"/>
    <col min="10491" max="10495" width="18" style="14" customWidth="1"/>
    <col min="10496" max="10496" width="15.7109375" style="14" customWidth="1"/>
    <col min="10497" max="10497" width="14.28515625" style="14" customWidth="1"/>
    <col min="10498" max="10498" width="16.28515625" style="14" customWidth="1"/>
    <col min="10499" max="10499" width="12.5703125" style="14" customWidth="1"/>
    <col min="10500" max="10500" width="11.85546875" style="14" customWidth="1"/>
    <col min="10501" max="10501" width="19.28515625" style="14" customWidth="1"/>
    <col min="10502" max="10502" width="16.85546875" style="14" customWidth="1"/>
    <col min="10503" max="10503" width="17" style="14" customWidth="1"/>
    <col min="10504" max="10504" width="17.42578125" style="14" customWidth="1"/>
    <col min="10505" max="10505" width="13" style="14" customWidth="1"/>
    <col min="10506" max="10506" width="12.28515625" style="14" customWidth="1"/>
    <col min="10507" max="10507" width="19.28515625" style="14" customWidth="1"/>
    <col min="10508" max="10508" width="16.5703125" style="14" customWidth="1"/>
    <col min="10509" max="10509" width="16.28515625" style="14" customWidth="1"/>
    <col min="10510" max="10510" width="18.7109375" style="14" customWidth="1"/>
    <col min="10511" max="10511" width="12.28515625" style="14" customWidth="1"/>
    <col min="10512" max="10512" width="12.140625" style="14" customWidth="1"/>
    <col min="10513" max="10513" width="19.28515625" style="14" customWidth="1"/>
    <col min="10514" max="10514" width="15.7109375" style="14" customWidth="1"/>
    <col min="10515" max="10515" width="17.7109375" style="14" customWidth="1"/>
    <col min="10516" max="10736" width="9.140625" style="14"/>
    <col min="10737" max="10737" width="21.5703125" style="14" customWidth="1"/>
    <col min="10738" max="10738" width="15.28515625" style="14" customWidth="1"/>
    <col min="10739" max="10739" width="10.85546875" style="14" customWidth="1"/>
    <col min="10740" max="10740" width="10" style="14" customWidth="1"/>
    <col min="10741" max="10741" width="10.7109375" style="14" customWidth="1"/>
    <col min="10742" max="10742" width="12.7109375" style="14" customWidth="1"/>
    <col min="10743" max="10745" width="12.28515625" style="14" customWidth="1"/>
    <col min="10746" max="10746" width="16" style="14" customWidth="1"/>
    <col min="10747" max="10751" width="18" style="14" customWidth="1"/>
    <col min="10752" max="10752" width="15.7109375" style="14" customWidth="1"/>
    <col min="10753" max="10753" width="14.28515625" style="14" customWidth="1"/>
    <col min="10754" max="10754" width="16.28515625" style="14" customWidth="1"/>
    <col min="10755" max="10755" width="12.5703125" style="14" customWidth="1"/>
    <col min="10756" max="10756" width="11.85546875" style="14" customWidth="1"/>
    <col min="10757" max="10757" width="19.28515625" style="14" customWidth="1"/>
    <col min="10758" max="10758" width="16.85546875" style="14" customWidth="1"/>
    <col min="10759" max="10759" width="17" style="14" customWidth="1"/>
    <col min="10760" max="10760" width="17.42578125" style="14" customWidth="1"/>
    <col min="10761" max="10761" width="13" style="14" customWidth="1"/>
    <col min="10762" max="10762" width="12.28515625" style="14" customWidth="1"/>
    <col min="10763" max="10763" width="19.28515625" style="14" customWidth="1"/>
    <col min="10764" max="10764" width="16.5703125" style="14" customWidth="1"/>
    <col min="10765" max="10765" width="16.28515625" style="14" customWidth="1"/>
    <col min="10766" max="10766" width="18.7109375" style="14" customWidth="1"/>
    <col min="10767" max="10767" width="12.28515625" style="14" customWidth="1"/>
    <col min="10768" max="10768" width="12.140625" style="14" customWidth="1"/>
    <col min="10769" max="10769" width="19.28515625" style="14" customWidth="1"/>
    <col min="10770" max="10770" width="15.7109375" style="14" customWidth="1"/>
    <col min="10771" max="10771" width="17.7109375" style="14" customWidth="1"/>
    <col min="10772" max="10992" width="9.140625" style="14"/>
    <col min="10993" max="10993" width="21.5703125" style="14" customWidth="1"/>
    <col min="10994" max="10994" width="15.28515625" style="14" customWidth="1"/>
    <col min="10995" max="10995" width="10.85546875" style="14" customWidth="1"/>
    <col min="10996" max="10996" width="10" style="14" customWidth="1"/>
    <col min="10997" max="10997" width="10.7109375" style="14" customWidth="1"/>
    <col min="10998" max="10998" width="12.7109375" style="14" customWidth="1"/>
    <col min="10999" max="11001" width="12.28515625" style="14" customWidth="1"/>
    <col min="11002" max="11002" width="16" style="14" customWidth="1"/>
    <col min="11003" max="11007" width="18" style="14" customWidth="1"/>
    <col min="11008" max="11008" width="15.7109375" style="14" customWidth="1"/>
    <col min="11009" max="11009" width="14.28515625" style="14" customWidth="1"/>
    <col min="11010" max="11010" width="16.28515625" style="14" customWidth="1"/>
    <col min="11011" max="11011" width="12.5703125" style="14" customWidth="1"/>
    <col min="11012" max="11012" width="11.85546875" style="14" customWidth="1"/>
    <col min="11013" max="11013" width="19.28515625" style="14" customWidth="1"/>
    <col min="11014" max="11014" width="16.85546875" style="14" customWidth="1"/>
    <col min="11015" max="11015" width="17" style="14" customWidth="1"/>
    <col min="11016" max="11016" width="17.42578125" style="14" customWidth="1"/>
    <col min="11017" max="11017" width="13" style="14" customWidth="1"/>
    <col min="11018" max="11018" width="12.28515625" style="14" customWidth="1"/>
    <col min="11019" max="11019" width="19.28515625" style="14" customWidth="1"/>
    <col min="11020" max="11020" width="16.5703125" style="14" customWidth="1"/>
    <col min="11021" max="11021" width="16.28515625" style="14" customWidth="1"/>
    <col min="11022" max="11022" width="18.7109375" style="14" customWidth="1"/>
    <col min="11023" max="11023" width="12.28515625" style="14" customWidth="1"/>
    <col min="11024" max="11024" width="12.140625" style="14" customWidth="1"/>
    <col min="11025" max="11025" width="19.28515625" style="14" customWidth="1"/>
    <col min="11026" max="11026" width="15.7109375" style="14" customWidth="1"/>
    <col min="11027" max="11027" width="17.7109375" style="14" customWidth="1"/>
    <col min="11028" max="11248" width="9.140625" style="14"/>
    <col min="11249" max="11249" width="21.5703125" style="14" customWidth="1"/>
    <col min="11250" max="11250" width="15.28515625" style="14" customWidth="1"/>
    <col min="11251" max="11251" width="10.85546875" style="14" customWidth="1"/>
    <col min="11252" max="11252" width="10" style="14" customWidth="1"/>
    <col min="11253" max="11253" width="10.7109375" style="14" customWidth="1"/>
    <col min="11254" max="11254" width="12.7109375" style="14" customWidth="1"/>
    <col min="11255" max="11257" width="12.28515625" style="14" customWidth="1"/>
    <col min="11258" max="11258" width="16" style="14" customWidth="1"/>
    <col min="11259" max="11263" width="18" style="14" customWidth="1"/>
    <col min="11264" max="11264" width="15.7109375" style="14" customWidth="1"/>
    <col min="11265" max="11265" width="14.28515625" style="14" customWidth="1"/>
    <col min="11266" max="11266" width="16.28515625" style="14" customWidth="1"/>
    <col min="11267" max="11267" width="12.5703125" style="14" customWidth="1"/>
    <col min="11268" max="11268" width="11.85546875" style="14" customWidth="1"/>
    <col min="11269" max="11269" width="19.28515625" style="14" customWidth="1"/>
    <col min="11270" max="11270" width="16.85546875" style="14" customWidth="1"/>
    <col min="11271" max="11271" width="17" style="14" customWidth="1"/>
    <col min="11272" max="11272" width="17.42578125" style="14" customWidth="1"/>
    <col min="11273" max="11273" width="13" style="14" customWidth="1"/>
    <col min="11274" max="11274" width="12.28515625" style="14" customWidth="1"/>
    <col min="11275" max="11275" width="19.28515625" style="14" customWidth="1"/>
    <col min="11276" max="11276" width="16.5703125" style="14" customWidth="1"/>
    <col min="11277" max="11277" width="16.28515625" style="14" customWidth="1"/>
    <col min="11278" max="11278" width="18.7109375" style="14" customWidth="1"/>
    <col min="11279" max="11279" width="12.28515625" style="14" customWidth="1"/>
    <col min="11280" max="11280" width="12.140625" style="14" customWidth="1"/>
    <col min="11281" max="11281" width="19.28515625" style="14" customWidth="1"/>
    <col min="11282" max="11282" width="15.7109375" style="14" customWidth="1"/>
    <col min="11283" max="11283" width="17.7109375" style="14" customWidth="1"/>
    <col min="11284" max="11504" width="9.140625" style="14"/>
    <col min="11505" max="11505" width="21.5703125" style="14" customWidth="1"/>
    <col min="11506" max="11506" width="15.28515625" style="14" customWidth="1"/>
    <col min="11507" max="11507" width="10.85546875" style="14" customWidth="1"/>
    <col min="11508" max="11508" width="10" style="14" customWidth="1"/>
    <col min="11509" max="11509" width="10.7109375" style="14" customWidth="1"/>
    <col min="11510" max="11510" width="12.7109375" style="14" customWidth="1"/>
    <col min="11511" max="11513" width="12.28515625" style="14" customWidth="1"/>
    <col min="11514" max="11514" width="16" style="14" customWidth="1"/>
    <col min="11515" max="11519" width="18" style="14" customWidth="1"/>
    <col min="11520" max="11520" width="15.7109375" style="14" customWidth="1"/>
    <col min="11521" max="11521" width="14.28515625" style="14" customWidth="1"/>
    <col min="11522" max="11522" width="16.28515625" style="14" customWidth="1"/>
    <col min="11523" max="11523" width="12.5703125" style="14" customWidth="1"/>
    <col min="11524" max="11524" width="11.85546875" style="14" customWidth="1"/>
    <col min="11525" max="11525" width="19.28515625" style="14" customWidth="1"/>
    <col min="11526" max="11526" width="16.85546875" style="14" customWidth="1"/>
    <col min="11527" max="11527" width="17" style="14" customWidth="1"/>
    <col min="11528" max="11528" width="17.42578125" style="14" customWidth="1"/>
    <col min="11529" max="11529" width="13" style="14" customWidth="1"/>
    <col min="11530" max="11530" width="12.28515625" style="14" customWidth="1"/>
    <col min="11531" max="11531" width="19.28515625" style="14" customWidth="1"/>
    <col min="11532" max="11532" width="16.5703125" style="14" customWidth="1"/>
    <col min="11533" max="11533" width="16.28515625" style="14" customWidth="1"/>
    <col min="11534" max="11534" width="18.7109375" style="14" customWidth="1"/>
    <col min="11535" max="11535" width="12.28515625" style="14" customWidth="1"/>
    <col min="11536" max="11536" width="12.140625" style="14" customWidth="1"/>
    <col min="11537" max="11537" width="19.28515625" style="14" customWidth="1"/>
    <col min="11538" max="11538" width="15.7109375" style="14" customWidth="1"/>
    <col min="11539" max="11539" width="17.7109375" style="14" customWidth="1"/>
    <col min="11540" max="11760" width="9.140625" style="14"/>
    <col min="11761" max="11761" width="21.5703125" style="14" customWidth="1"/>
    <col min="11762" max="11762" width="15.28515625" style="14" customWidth="1"/>
    <col min="11763" max="11763" width="10.85546875" style="14" customWidth="1"/>
    <col min="11764" max="11764" width="10" style="14" customWidth="1"/>
    <col min="11765" max="11765" width="10.7109375" style="14" customWidth="1"/>
    <col min="11766" max="11766" width="12.7109375" style="14" customWidth="1"/>
    <col min="11767" max="11769" width="12.28515625" style="14" customWidth="1"/>
    <col min="11770" max="11770" width="16" style="14" customWidth="1"/>
    <col min="11771" max="11775" width="18" style="14" customWidth="1"/>
    <col min="11776" max="11776" width="15.7109375" style="14" customWidth="1"/>
    <col min="11777" max="11777" width="14.28515625" style="14" customWidth="1"/>
    <col min="11778" max="11778" width="16.28515625" style="14" customWidth="1"/>
    <col min="11779" max="11779" width="12.5703125" style="14" customWidth="1"/>
    <col min="11780" max="11780" width="11.85546875" style="14" customWidth="1"/>
    <col min="11781" max="11781" width="19.28515625" style="14" customWidth="1"/>
    <col min="11782" max="11782" width="16.85546875" style="14" customWidth="1"/>
    <col min="11783" max="11783" width="17" style="14" customWidth="1"/>
    <col min="11784" max="11784" width="17.42578125" style="14" customWidth="1"/>
    <col min="11785" max="11785" width="13" style="14" customWidth="1"/>
    <col min="11786" max="11786" width="12.28515625" style="14" customWidth="1"/>
    <col min="11787" max="11787" width="19.28515625" style="14" customWidth="1"/>
    <col min="11788" max="11788" width="16.5703125" style="14" customWidth="1"/>
    <col min="11789" max="11789" width="16.28515625" style="14" customWidth="1"/>
    <col min="11790" max="11790" width="18.7109375" style="14" customWidth="1"/>
    <col min="11791" max="11791" width="12.28515625" style="14" customWidth="1"/>
    <col min="11792" max="11792" width="12.140625" style="14" customWidth="1"/>
    <col min="11793" max="11793" width="19.28515625" style="14" customWidth="1"/>
    <col min="11794" max="11794" width="15.7109375" style="14" customWidth="1"/>
    <col min="11795" max="11795" width="17.7109375" style="14" customWidth="1"/>
    <col min="11796" max="12016" width="9.140625" style="14"/>
    <col min="12017" max="12017" width="21.5703125" style="14" customWidth="1"/>
    <col min="12018" max="12018" width="15.28515625" style="14" customWidth="1"/>
    <col min="12019" max="12019" width="10.85546875" style="14" customWidth="1"/>
    <col min="12020" max="12020" width="10" style="14" customWidth="1"/>
    <col min="12021" max="12021" width="10.7109375" style="14" customWidth="1"/>
    <col min="12022" max="12022" width="12.7109375" style="14" customWidth="1"/>
    <col min="12023" max="12025" width="12.28515625" style="14" customWidth="1"/>
    <col min="12026" max="12026" width="16" style="14" customWidth="1"/>
    <col min="12027" max="12031" width="18" style="14" customWidth="1"/>
    <col min="12032" max="12032" width="15.7109375" style="14" customWidth="1"/>
    <col min="12033" max="12033" width="14.28515625" style="14" customWidth="1"/>
    <col min="12034" max="12034" width="16.28515625" style="14" customWidth="1"/>
    <col min="12035" max="12035" width="12.5703125" style="14" customWidth="1"/>
    <col min="12036" max="12036" width="11.85546875" style="14" customWidth="1"/>
    <col min="12037" max="12037" width="19.28515625" style="14" customWidth="1"/>
    <col min="12038" max="12038" width="16.85546875" style="14" customWidth="1"/>
    <col min="12039" max="12039" width="17" style="14" customWidth="1"/>
    <col min="12040" max="12040" width="17.42578125" style="14" customWidth="1"/>
    <col min="12041" max="12041" width="13" style="14" customWidth="1"/>
    <col min="12042" max="12042" width="12.28515625" style="14" customWidth="1"/>
    <col min="12043" max="12043" width="19.28515625" style="14" customWidth="1"/>
    <col min="12044" max="12044" width="16.5703125" style="14" customWidth="1"/>
    <col min="12045" max="12045" width="16.28515625" style="14" customWidth="1"/>
    <col min="12046" max="12046" width="18.7109375" style="14" customWidth="1"/>
    <col min="12047" max="12047" width="12.28515625" style="14" customWidth="1"/>
    <col min="12048" max="12048" width="12.140625" style="14" customWidth="1"/>
    <col min="12049" max="12049" width="19.28515625" style="14" customWidth="1"/>
    <col min="12050" max="12050" width="15.7109375" style="14" customWidth="1"/>
    <col min="12051" max="12051" width="17.7109375" style="14" customWidth="1"/>
    <col min="12052" max="12272" width="9.140625" style="14"/>
    <col min="12273" max="12273" width="21.5703125" style="14" customWidth="1"/>
    <col min="12274" max="12274" width="15.28515625" style="14" customWidth="1"/>
    <col min="12275" max="12275" width="10.85546875" style="14" customWidth="1"/>
    <col min="12276" max="12276" width="10" style="14" customWidth="1"/>
    <col min="12277" max="12277" width="10.7109375" style="14" customWidth="1"/>
    <col min="12278" max="12278" width="12.7109375" style="14" customWidth="1"/>
    <col min="12279" max="12281" width="12.28515625" style="14" customWidth="1"/>
    <col min="12282" max="12282" width="16" style="14" customWidth="1"/>
    <col min="12283" max="12287" width="18" style="14" customWidth="1"/>
    <col min="12288" max="12288" width="15.7109375" style="14" customWidth="1"/>
    <col min="12289" max="12289" width="14.28515625" style="14" customWidth="1"/>
    <col min="12290" max="12290" width="16.28515625" style="14" customWidth="1"/>
    <col min="12291" max="12291" width="12.5703125" style="14" customWidth="1"/>
    <col min="12292" max="12292" width="11.85546875" style="14" customWidth="1"/>
    <col min="12293" max="12293" width="19.28515625" style="14" customWidth="1"/>
    <col min="12294" max="12294" width="16.85546875" style="14" customWidth="1"/>
    <col min="12295" max="12295" width="17" style="14" customWidth="1"/>
    <col min="12296" max="12296" width="17.42578125" style="14" customWidth="1"/>
    <col min="12297" max="12297" width="13" style="14" customWidth="1"/>
    <col min="12298" max="12298" width="12.28515625" style="14" customWidth="1"/>
    <col min="12299" max="12299" width="19.28515625" style="14" customWidth="1"/>
    <col min="12300" max="12300" width="16.5703125" style="14" customWidth="1"/>
    <col min="12301" max="12301" width="16.28515625" style="14" customWidth="1"/>
    <col min="12302" max="12302" width="18.7109375" style="14" customWidth="1"/>
    <col min="12303" max="12303" width="12.28515625" style="14" customWidth="1"/>
    <col min="12304" max="12304" width="12.140625" style="14" customWidth="1"/>
    <col min="12305" max="12305" width="19.28515625" style="14" customWidth="1"/>
    <col min="12306" max="12306" width="15.7109375" style="14" customWidth="1"/>
    <col min="12307" max="12307" width="17.7109375" style="14" customWidth="1"/>
    <col min="12308" max="12528" width="9.140625" style="14"/>
    <col min="12529" max="12529" width="21.5703125" style="14" customWidth="1"/>
    <col min="12530" max="12530" width="15.28515625" style="14" customWidth="1"/>
    <col min="12531" max="12531" width="10.85546875" style="14" customWidth="1"/>
    <col min="12532" max="12532" width="10" style="14" customWidth="1"/>
    <col min="12533" max="12533" width="10.7109375" style="14" customWidth="1"/>
    <col min="12534" max="12534" width="12.7109375" style="14" customWidth="1"/>
    <col min="12535" max="12537" width="12.28515625" style="14" customWidth="1"/>
    <col min="12538" max="12538" width="16" style="14" customWidth="1"/>
    <col min="12539" max="12543" width="18" style="14" customWidth="1"/>
    <col min="12544" max="12544" width="15.7109375" style="14" customWidth="1"/>
    <col min="12545" max="12545" width="14.28515625" style="14" customWidth="1"/>
    <col min="12546" max="12546" width="16.28515625" style="14" customWidth="1"/>
    <col min="12547" max="12547" width="12.5703125" style="14" customWidth="1"/>
    <col min="12548" max="12548" width="11.85546875" style="14" customWidth="1"/>
    <col min="12549" max="12549" width="19.28515625" style="14" customWidth="1"/>
    <col min="12550" max="12550" width="16.85546875" style="14" customWidth="1"/>
    <col min="12551" max="12551" width="17" style="14" customWidth="1"/>
    <col min="12552" max="12552" width="17.42578125" style="14" customWidth="1"/>
    <col min="12553" max="12553" width="13" style="14" customWidth="1"/>
    <col min="12554" max="12554" width="12.28515625" style="14" customWidth="1"/>
    <col min="12555" max="12555" width="19.28515625" style="14" customWidth="1"/>
    <col min="12556" max="12556" width="16.5703125" style="14" customWidth="1"/>
    <col min="12557" max="12557" width="16.28515625" style="14" customWidth="1"/>
    <col min="12558" max="12558" width="18.7109375" style="14" customWidth="1"/>
    <col min="12559" max="12559" width="12.28515625" style="14" customWidth="1"/>
    <col min="12560" max="12560" width="12.140625" style="14" customWidth="1"/>
    <col min="12561" max="12561" width="19.28515625" style="14" customWidth="1"/>
    <col min="12562" max="12562" width="15.7109375" style="14" customWidth="1"/>
    <col min="12563" max="12563" width="17.7109375" style="14" customWidth="1"/>
    <col min="12564" max="12784" width="9.140625" style="14"/>
    <col min="12785" max="12785" width="21.5703125" style="14" customWidth="1"/>
    <col min="12786" max="12786" width="15.28515625" style="14" customWidth="1"/>
    <col min="12787" max="12787" width="10.85546875" style="14" customWidth="1"/>
    <col min="12788" max="12788" width="10" style="14" customWidth="1"/>
    <col min="12789" max="12789" width="10.7109375" style="14" customWidth="1"/>
    <col min="12790" max="12790" width="12.7109375" style="14" customWidth="1"/>
    <col min="12791" max="12793" width="12.28515625" style="14" customWidth="1"/>
    <col min="12794" max="12794" width="16" style="14" customWidth="1"/>
    <col min="12795" max="12799" width="18" style="14" customWidth="1"/>
    <col min="12800" max="12800" width="15.7109375" style="14" customWidth="1"/>
    <col min="12801" max="12801" width="14.28515625" style="14" customWidth="1"/>
    <col min="12802" max="12802" width="16.28515625" style="14" customWidth="1"/>
    <col min="12803" max="12803" width="12.5703125" style="14" customWidth="1"/>
    <col min="12804" max="12804" width="11.85546875" style="14" customWidth="1"/>
    <col min="12805" max="12805" width="19.28515625" style="14" customWidth="1"/>
    <col min="12806" max="12806" width="16.85546875" style="14" customWidth="1"/>
    <col min="12807" max="12807" width="17" style="14" customWidth="1"/>
    <col min="12808" max="12808" width="17.42578125" style="14" customWidth="1"/>
    <col min="12809" max="12809" width="13" style="14" customWidth="1"/>
    <col min="12810" max="12810" width="12.28515625" style="14" customWidth="1"/>
    <col min="12811" max="12811" width="19.28515625" style="14" customWidth="1"/>
    <col min="12812" max="12812" width="16.5703125" style="14" customWidth="1"/>
    <col min="12813" max="12813" width="16.28515625" style="14" customWidth="1"/>
    <col min="12814" max="12814" width="18.7109375" style="14" customWidth="1"/>
    <col min="12815" max="12815" width="12.28515625" style="14" customWidth="1"/>
    <col min="12816" max="12816" width="12.140625" style="14" customWidth="1"/>
    <col min="12817" max="12817" width="19.28515625" style="14" customWidth="1"/>
    <col min="12818" max="12818" width="15.7109375" style="14" customWidth="1"/>
    <col min="12819" max="12819" width="17.7109375" style="14" customWidth="1"/>
    <col min="12820" max="13040" width="9.140625" style="14"/>
    <col min="13041" max="13041" width="21.5703125" style="14" customWidth="1"/>
    <col min="13042" max="13042" width="15.28515625" style="14" customWidth="1"/>
    <col min="13043" max="13043" width="10.85546875" style="14" customWidth="1"/>
    <col min="13044" max="13044" width="10" style="14" customWidth="1"/>
    <col min="13045" max="13045" width="10.7109375" style="14" customWidth="1"/>
    <col min="13046" max="13046" width="12.7109375" style="14" customWidth="1"/>
    <col min="13047" max="13049" width="12.28515625" style="14" customWidth="1"/>
    <col min="13050" max="13050" width="16" style="14" customWidth="1"/>
    <col min="13051" max="13055" width="18" style="14" customWidth="1"/>
    <col min="13056" max="13056" width="15.7109375" style="14" customWidth="1"/>
    <col min="13057" max="13057" width="14.28515625" style="14" customWidth="1"/>
    <col min="13058" max="13058" width="16.28515625" style="14" customWidth="1"/>
    <col min="13059" max="13059" width="12.5703125" style="14" customWidth="1"/>
    <col min="13060" max="13060" width="11.85546875" style="14" customWidth="1"/>
    <col min="13061" max="13061" width="19.28515625" style="14" customWidth="1"/>
    <col min="13062" max="13062" width="16.85546875" style="14" customWidth="1"/>
    <col min="13063" max="13063" width="17" style="14" customWidth="1"/>
    <col min="13064" max="13064" width="17.42578125" style="14" customWidth="1"/>
    <col min="13065" max="13065" width="13" style="14" customWidth="1"/>
    <col min="13066" max="13066" width="12.28515625" style="14" customWidth="1"/>
    <col min="13067" max="13067" width="19.28515625" style="14" customWidth="1"/>
    <col min="13068" max="13068" width="16.5703125" style="14" customWidth="1"/>
    <col min="13069" max="13069" width="16.28515625" style="14" customWidth="1"/>
    <col min="13070" max="13070" width="18.7109375" style="14" customWidth="1"/>
    <col min="13071" max="13071" width="12.28515625" style="14" customWidth="1"/>
    <col min="13072" max="13072" width="12.140625" style="14" customWidth="1"/>
    <col min="13073" max="13073" width="19.28515625" style="14" customWidth="1"/>
    <col min="13074" max="13074" width="15.7109375" style="14" customWidth="1"/>
    <col min="13075" max="13075" width="17.7109375" style="14" customWidth="1"/>
    <col min="13076" max="13296" width="9.140625" style="14"/>
    <col min="13297" max="13297" width="21.5703125" style="14" customWidth="1"/>
    <col min="13298" max="13298" width="15.28515625" style="14" customWidth="1"/>
    <col min="13299" max="13299" width="10.85546875" style="14" customWidth="1"/>
    <col min="13300" max="13300" width="10" style="14" customWidth="1"/>
    <col min="13301" max="13301" width="10.7109375" style="14" customWidth="1"/>
    <col min="13302" max="13302" width="12.7109375" style="14" customWidth="1"/>
    <col min="13303" max="13305" width="12.28515625" style="14" customWidth="1"/>
    <col min="13306" max="13306" width="16" style="14" customWidth="1"/>
    <col min="13307" max="13311" width="18" style="14" customWidth="1"/>
    <col min="13312" max="13312" width="15.7109375" style="14" customWidth="1"/>
    <col min="13313" max="13313" width="14.28515625" style="14" customWidth="1"/>
    <col min="13314" max="13314" width="16.28515625" style="14" customWidth="1"/>
    <col min="13315" max="13315" width="12.5703125" style="14" customWidth="1"/>
    <col min="13316" max="13316" width="11.85546875" style="14" customWidth="1"/>
    <col min="13317" max="13317" width="19.28515625" style="14" customWidth="1"/>
    <col min="13318" max="13318" width="16.85546875" style="14" customWidth="1"/>
    <col min="13319" max="13319" width="17" style="14" customWidth="1"/>
    <col min="13320" max="13320" width="17.42578125" style="14" customWidth="1"/>
    <col min="13321" max="13321" width="13" style="14" customWidth="1"/>
    <col min="13322" max="13322" width="12.28515625" style="14" customWidth="1"/>
    <col min="13323" max="13323" width="19.28515625" style="14" customWidth="1"/>
    <col min="13324" max="13324" width="16.5703125" style="14" customWidth="1"/>
    <col min="13325" max="13325" width="16.28515625" style="14" customWidth="1"/>
    <col min="13326" max="13326" width="18.7109375" style="14" customWidth="1"/>
    <col min="13327" max="13327" width="12.28515625" style="14" customWidth="1"/>
    <col min="13328" max="13328" width="12.140625" style="14" customWidth="1"/>
    <col min="13329" max="13329" width="19.28515625" style="14" customWidth="1"/>
    <col min="13330" max="13330" width="15.7109375" style="14" customWidth="1"/>
    <col min="13331" max="13331" width="17.7109375" style="14" customWidth="1"/>
    <col min="13332" max="13552" width="9.140625" style="14"/>
    <col min="13553" max="13553" width="21.5703125" style="14" customWidth="1"/>
    <col min="13554" max="13554" width="15.28515625" style="14" customWidth="1"/>
    <col min="13555" max="13555" width="10.85546875" style="14" customWidth="1"/>
    <col min="13556" max="13556" width="10" style="14" customWidth="1"/>
    <col min="13557" max="13557" width="10.7109375" style="14" customWidth="1"/>
    <col min="13558" max="13558" width="12.7109375" style="14" customWidth="1"/>
    <col min="13559" max="13561" width="12.28515625" style="14" customWidth="1"/>
    <col min="13562" max="13562" width="16" style="14" customWidth="1"/>
    <col min="13563" max="13567" width="18" style="14" customWidth="1"/>
    <col min="13568" max="13568" width="15.7109375" style="14" customWidth="1"/>
    <col min="13569" max="13569" width="14.28515625" style="14" customWidth="1"/>
    <col min="13570" max="13570" width="16.28515625" style="14" customWidth="1"/>
    <col min="13571" max="13571" width="12.5703125" style="14" customWidth="1"/>
    <col min="13572" max="13572" width="11.85546875" style="14" customWidth="1"/>
    <col min="13573" max="13573" width="19.28515625" style="14" customWidth="1"/>
    <col min="13574" max="13574" width="16.85546875" style="14" customWidth="1"/>
    <col min="13575" max="13575" width="17" style="14" customWidth="1"/>
    <col min="13576" max="13576" width="17.42578125" style="14" customWidth="1"/>
    <col min="13577" max="13577" width="13" style="14" customWidth="1"/>
    <col min="13578" max="13578" width="12.28515625" style="14" customWidth="1"/>
    <col min="13579" max="13579" width="19.28515625" style="14" customWidth="1"/>
    <col min="13580" max="13580" width="16.5703125" style="14" customWidth="1"/>
    <col min="13581" max="13581" width="16.28515625" style="14" customWidth="1"/>
    <col min="13582" max="13582" width="18.7109375" style="14" customWidth="1"/>
    <col min="13583" max="13583" width="12.28515625" style="14" customWidth="1"/>
    <col min="13584" max="13584" width="12.140625" style="14" customWidth="1"/>
    <col min="13585" max="13585" width="19.28515625" style="14" customWidth="1"/>
    <col min="13586" max="13586" width="15.7109375" style="14" customWidth="1"/>
    <col min="13587" max="13587" width="17.7109375" style="14" customWidth="1"/>
    <col min="13588" max="13808" width="9.140625" style="14"/>
    <col min="13809" max="13809" width="21.5703125" style="14" customWidth="1"/>
    <col min="13810" max="13810" width="15.28515625" style="14" customWidth="1"/>
    <col min="13811" max="13811" width="10.85546875" style="14" customWidth="1"/>
    <col min="13812" max="13812" width="10" style="14" customWidth="1"/>
    <col min="13813" max="13813" width="10.7109375" style="14" customWidth="1"/>
    <col min="13814" max="13814" width="12.7109375" style="14" customWidth="1"/>
    <col min="13815" max="13817" width="12.28515625" style="14" customWidth="1"/>
    <col min="13818" max="13818" width="16" style="14" customWidth="1"/>
    <col min="13819" max="13823" width="18" style="14" customWidth="1"/>
    <col min="13824" max="13824" width="15.7109375" style="14" customWidth="1"/>
    <col min="13825" max="13825" width="14.28515625" style="14" customWidth="1"/>
    <col min="13826" max="13826" width="16.28515625" style="14" customWidth="1"/>
    <col min="13827" max="13827" width="12.5703125" style="14" customWidth="1"/>
    <col min="13828" max="13828" width="11.85546875" style="14" customWidth="1"/>
    <col min="13829" max="13829" width="19.28515625" style="14" customWidth="1"/>
    <col min="13830" max="13830" width="16.85546875" style="14" customWidth="1"/>
    <col min="13831" max="13831" width="17" style="14" customWidth="1"/>
    <col min="13832" max="13832" width="17.42578125" style="14" customWidth="1"/>
    <col min="13833" max="13833" width="13" style="14" customWidth="1"/>
    <col min="13834" max="13834" width="12.28515625" style="14" customWidth="1"/>
    <col min="13835" max="13835" width="19.28515625" style="14" customWidth="1"/>
    <col min="13836" max="13836" width="16.5703125" style="14" customWidth="1"/>
    <col min="13837" max="13837" width="16.28515625" style="14" customWidth="1"/>
    <col min="13838" max="13838" width="18.7109375" style="14" customWidth="1"/>
    <col min="13839" max="13839" width="12.28515625" style="14" customWidth="1"/>
    <col min="13840" max="13840" width="12.140625" style="14" customWidth="1"/>
    <col min="13841" max="13841" width="19.28515625" style="14" customWidth="1"/>
    <col min="13842" max="13842" width="15.7109375" style="14" customWidth="1"/>
    <col min="13843" max="13843" width="17.7109375" style="14" customWidth="1"/>
    <col min="13844" max="14064" width="9.140625" style="14"/>
    <col min="14065" max="14065" width="21.5703125" style="14" customWidth="1"/>
    <col min="14066" max="14066" width="15.28515625" style="14" customWidth="1"/>
    <col min="14067" max="14067" width="10.85546875" style="14" customWidth="1"/>
    <col min="14068" max="14068" width="10" style="14" customWidth="1"/>
    <col min="14069" max="14069" width="10.7109375" style="14" customWidth="1"/>
    <col min="14070" max="14070" width="12.7109375" style="14" customWidth="1"/>
    <col min="14071" max="14073" width="12.28515625" style="14" customWidth="1"/>
    <col min="14074" max="14074" width="16" style="14" customWidth="1"/>
    <col min="14075" max="14079" width="18" style="14" customWidth="1"/>
    <col min="14080" max="14080" width="15.7109375" style="14" customWidth="1"/>
    <col min="14081" max="14081" width="14.28515625" style="14" customWidth="1"/>
    <col min="14082" max="14082" width="16.28515625" style="14" customWidth="1"/>
    <col min="14083" max="14083" width="12.5703125" style="14" customWidth="1"/>
    <col min="14084" max="14084" width="11.85546875" style="14" customWidth="1"/>
    <col min="14085" max="14085" width="19.28515625" style="14" customWidth="1"/>
    <col min="14086" max="14086" width="16.85546875" style="14" customWidth="1"/>
    <col min="14087" max="14087" width="17" style="14" customWidth="1"/>
    <col min="14088" max="14088" width="17.42578125" style="14" customWidth="1"/>
    <col min="14089" max="14089" width="13" style="14" customWidth="1"/>
    <col min="14090" max="14090" width="12.28515625" style="14" customWidth="1"/>
    <col min="14091" max="14091" width="19.28515625" style="14" customWidth="1"/>
    <col min="14092" max="14092" width="16.5703125" style="14" customWidth="1"/>
    <col min="14093" max="14093" width="16.28515625" style="14" customWidth="1"/>
    <col min="14094" max="14094" width="18.7109375" style="14" customWidth="1"/>
    <col min="14095" max="14095" width="12.28515625" style="14" customWidth="1"/>
    <col min="14096" max="14096" width="12.140625" style="14" customWidth="1"/>
    <col min="14097" max="14097" width="19.28515625" style="14" customWidth="1"/>
    <col min="14098" max="14098" width="15.7109375" style="14" customWidth="1"/>
    <col min="14099" max="14099" width="17.7109375" style="14" customWidth="1"/>
    <col min="14100" max="14320" width="9.140625" style="14"/>
    <col min="14321" max="14321" width="21.5703125" style="14" customWidth="1"/>
    <col min="14322" max="14322" width="15.28515625" style="14" customWidth="1"/>
    <col min="14323" max="14323" width="10.85546875" style="14" customWidth="1"/>
    <col min="14324" max="14324" width="10" style="14" customWidth="1"/>
    <col min="14325" max="14325" width="10.7109375" style="14" customWidth="1"/>
    <col min="14326" max="14326" width="12.7109375" style="14" customWidth="1"/>
    <col min="14327" max="14329" width="12.28515625" style="14" customWidth="1"/>
    <col min="14330" max="14330" width="16" style="14" customWidth="1"/>
    <col min="14331" max="14335" width="18" style="14" customWidth="1"/>
    <col min="14336" max="14336" width="15.7109375" style="14" customWidth="1"/>
    <col min="14337" max="14337" width="14.28515625" style="14" customWidth="1"/>
    <col min="14338" max="14338" width="16.28515625" style="14" customWidth="1"/>
    <col min="14339" max="14339" width="12.5703125" style="14" customWidth="1"/>
    <col min="14340" max="14340" width="11.85546875" style="14" customWidth="1"/>
    <col min="14341" max="14341" width="19.28515625" style="14" customWidth="1"/>
    <col min="14342" max="14342" width="16.85546875" style="14" customWidth="1"/>
    <col min="14343" max="14343" width="17" style="14" customWidth="1"/>
    <col min="14344" max="14344" width="17.42578125" style="14" customWidth="1"/>
    <col min="14345" max="14345" width="13" style="14" customWidth="1"/>
    <col min="14346" max="14346" width="12.28515625" style="14" customWidth="1"/>
    <col min="14347" max="14347" width="19.28515625" style="14" customWidth="1"/>
    <col min="14348" max="14348" width="16.5703125" style="14" customWidth="1"/>
    <col min="14349" max="14349" width="16.28515625" style="14" customWidth="1"/>
    <col min="14350" max="14350" width="18.7109375" style="14" customWidth="1"/>
    <col min="14351" max="14351" width="12.28515625" style="14" customWidth="1"/>
    <col min="14352" max="14352" width="12.140625" style="14" customWidth="1"/>
    <col min="14353" max="14353" width="19.28515625" style="14" customWidth="1"/>
    <col min="14354" max="14354" width="15.7109375" style="14" customWidth="1"/>
    <col min="14355" max="14355" width="17.7109375" style="14" customWidth="1"/>
    <col min="14356" max="14576" width="9.140625" style="14"/>
    <col min="14577" max="14577" width="21.5703125" style="14" customWidth="1"/>
    <col min="14578" max="14578" width="15.28515625" style="14" customWidth="1"/>
    <col min="14579" max="14579" width="10.85546875" style="14" customWidth="1"/>
    <col min="14580" max="14580" width="10" style="14" customWidth="1"/>
    <col min="14581" max="14581" width="10.7109375" style="14" customWidth="1"/>
    <col min="14582" max="14582" width="12.7109375" style="14" customWidth="1"/>
    <col min="14583" max="14585" width="12.28515625" style="14" customWidth="1"/>
    <col min="14586" max="14586" width="16" style="14" customWidth="1"/>
    <col min="14587" max="14591" width="18" style="14" customWidth="1"/>
    <col min="14592" max="14592" width="15.7109375" style="14" customWidth="1"/>
    <col min="14593" max="14593" width="14.28515625" style="14" customWidth="1"/>
    <col min="14594" max="14594" width="16.28515625" style="14" customWidth="1"/>
    <col min="14595" max="14595" width="12.5703125" style="14" customWidth="1"/>
    <col min="14596" max="14596" width="11.85546875" style="14" customWidth="1"/>
    <col min="14597" max="14597" width="19.28515625" style="14" customWidth="1"/>
    <col min="14598" max="14598" width="16.85546875" style="14" customWidth="1"/>
    <col min="14599" max="14599" width="17" style="14" customWidth="1"/>
    <col min="14600" max="14600" width="17.42578125" style="14" customWidth="1"/>
    <col min="14601" max="14601" width="13" style="14" customWidth="1"/>
    <col min="14602" max="14602" width="12.28515625" style="14" customWidth="1"/>
    <col min="14603" max="14603" width="19.28515625" style="14" customWidth="1"/>
    <col min="14604" max="14604" width="16.5703125" style="14" customWidth="1"/>
    <col min="14605" max="14605" width="16.28515625" style="14" customWidth="1"/>
    <col min="14606" max="14606" width="18.7109375" style="14" customWidth="1"/>
    <col min="14607" max="14607" width="12.28515625" style="14" customWidth="1"/>
    <col min="14608" max="14608" width="12.140625" style="14" customWidth="1"/>
    <col min="14609" max="14609" width="19.28515625" style="14" customWidth="1"/>
    <col min="14610" max="14610" width="15.7109375" style="14" customWidth="1"/>
    <col min="14611" max="14611" width="17.7109375" style="14" customWidth="1"/>
    <col min="14612" max="14832" width="9.140625" style="14"/>
    <col min="14833" max="14833" width="21.5703125" style="14" customWidth="1"/>
    <col min="14834" max="14834" width="15.28515625" style="14" customWidth="1"/>
    <col min="14835" max="14835" width="10.85546875" style="14" customWidth="1"/>
    <col min="14836" max="14836" width="10" style="14" customWidth="1"/>
    <col min="14837" max="14837" width="10.7109375" style="14" customWidth="1"/>
    <col min="14838" max="14838" width="12.7109375" style="14" customWidth="1"/>
    <col min="14839" max="14841" width="12.28515625" style="14" customWidth="1"/>
    <col min="14842" max="14842" width="16" style="14" customWidth="1"/>
    <col min="14843" max="14847" width="18" style="14" customWidth="1"/>
    <col min="14848" max="14848" width="15.7109375" style="14" customWidth="1"/>
    <col min="14849" max="14849" width="14.28515625" style="14" customWidth="1"/>
    <col min="14850" max="14850" width="16.28515625" style="14" customWidth="1"/>
    <col min="14851" max="14851" width="12.5703125" style="14" customWidth="1"/>
    <col min="14852" max="14852" width="11.85546875" style="14" customWidth="1"/>
    <col min="14853" max="14853" width="19.28515625" style="14" customWidth="1"/>
    <col min="14854" max="14854" width="16.85546875" style="14" customWidth="1"/>
    <col min="14855" max="14855" width="17" style="14" customWidth="1"/>
    <col min="14856" max="14856" width="17.42578125" style="14" customWidth="1"/>
    <col min="14857" max="14857" width="13" style="14" customWidth="1"/>
    <col min="14858" max="14858" width="12.28515625" style="14" customWidth="1"/>
    <col min="14859" max="14859" width="19.28515625" style="14" customWidth="1"/>
    <col min="14860" max="14860" width="16.5703125" style="14" customWidth="1"/>
    <col min="14861" max="14861" width="16.28515625" style="14" customWidth="1"/>
    <col min="14862" max="14862" width="18.7109375" style="14" customWidth="1"/>
    <col min="14863" max="14863" width="12.28515625" style="14" customWidth="1"/>
    <col min="14864" max="14864" width="12.140625" style="14" customWidth="1"/>
    <col min="14865" max="14865" width="19.28515625" style="14" customWidth="1"/>
    <col min="14866" max="14866" width="15.7109375" style="14" customWidth="1"/>
    <col min="14867" max="14867" width="17.7109375" style="14" customWidth="1"/>
    <col min="14868" max="15088" width="9.140625" style="14"/>
    <col min="15089" max="15089" width="21.5703125" style="14" customWidth="1"/>
    <col min="15090" max="15090" width="15.28515625" style="14" customWidth="1"/>
    <col min="15091" max="15091" width="10.85546875" style="14" customWidth="1"/>
    <col min="15092" max="15092" width="10" style="14" customWidth="1"/>
    <col min="15093" max="15093" width="10.7109375" style="14" customWidth="1"/>
    <col min="15094" max="15094" width="12.7109375" style="14" customWidth="1"/>
    <col min="15095" max="15097" width="12.28515625" style="14" customWidth="1"/>
    <col min="15098" max="15098" width="16" style="14" customWidth="1"/>
    <col min="15099" max="15103" width="18" style="14" customWidth="1"/>
    <col min="15104" max="15104" width="15.7109375" style="14" customWidth="1"/>
    <col min="15105" max="15105" width="14.28515625" style="14" customWidth="1"/>
    <col min="15106" max="15106" width="16.28515625" style="14" customWidth="1"/>
    <col min="15107" max="15107" width="12.5703125" style="14" customWidth="1"/>
    <col min="15108" max="15108" width="11.85546875" style="14" customWidth="1"/>
    <col min="15109" max="15109" width="19.28515625" style="14" customWidth="1"/>
    <col min="15110" max="15110" width="16.85546875" style="14" customWidth="1"/>
    <col min="15111" max="15111" width="17" style="14" customWidth="1"/>
    <col min="15112" max="15112" width="17.42578125" style="14" customWidth="1"/>
    <col min="15113" max="15113" width="13" style="14" customWidth="1"/>
    <col min="15114" max="15114" width="12.28515625" style="14" customWidth="1"/>
    <col min="15115" max="15115" width="19.28515625" style="14" customWidth="1"/>
    <col min="15116" max="15116" width="16.5703125" style="14" customWidth="1"/>
    <col min="15117" max="15117" width="16.28515625" style="14" customWidth="1"/>
    <col min="15118" max="15118" width="18.7109375" style="14" customWidth="1"/>
    <col min="15119" max="15119" width="12.28515625" style="14" customWidth="1"/>
    <col min="15120" max="15120" width="12.140625" style="14" customWidth="1"/>
    <col min="15121" max="15121" width="19.28515625" style="14" customWidth="1"/>
    <col min="15122" max="15122" width="15.7109375" style="14" customWidth="1"/>
    <col min="15123" max="15123" width="17.7109375" style="14" customWidth="1"/>
    <col min="15124" max="15344" width="9.140625" style="14"/>
    <col min="15345" max="15345" width="21.5703125" style="14" customWidth="1"/>
    <col min="15346" max="15346" width="15.28515625" style="14" customWidth="1"/>
    <col min="15347" max="15347" width="10.85546875" style="14" customWidth="1"/>
    <col min="15348" max="15348" width="10" style="14" customWidth="1"/>
    <col min="15349" max="15349" width="10.7109375" style="14" customWidth="1"/>
    <col min="15350" max="15350" width="12.7109375" style="14" customWidth="1"/>
    <col min="15351" max="15353" width="12.28515625" style="14" customWidth="1"/>
    <col min="15354" max="15354" width="16" style="14" customWidth="1"/>
    <col min="15355" max="15359" width="18" style="14" customWidth="1"/>
    <col min="15360" max="15360" width="15.7109375" style="14" customWidth="1"/>
    <col min="15361" max="15361" width="14.28515625" style="14" customWidth="1"/>
    <col min="15362" max="15362" width="16.28515625" style="14" customWidth="1"/>
    <col min="15363" max="15363" width="12.5703125" style="14" customWidth="1"/>
    <col min="15364" max="15364" width="11.85546875" style="14" customWidth="1"/>
    <col min="15365" max="15365" width="19.28515625" style="14" customWidth="1"/>
    <col min="15366" max="15366" width="16.85546875" style="14" customWidth="1"/>
    <col min="15367" max="15367" width="17" style="14" customWidth="1"/>
    <col min="15368" max="15368" width="17.42578125" style="14" customWidth="1"/>
    <col min="15369" max="15369" width="13" style="14" customWidth="1"/>
    <col min="15370" max="15370" width="12.28515625" style="14" customWidth="1"/>
    <col min="15371" max="15371" width="19.28515625" style="14" customWidth="1"/>
    <col min="15372" max="15372" width="16.5703125" style="14" customWidth="1"/>
    <col min="15373" max="15373" width="16.28515625" style="14" customWidth="1"/>
    <col min="15374" max="15374" width="18.7109375" style="14" customWidth="1"/>
    <col min="15375" max="15375" width="12.28515625" style="14" customWidth="1"/>
    <col min="15376" max="15376" width="12.140625" style="14" customWidth="1"/>
    <col min="15377" max="15377" width="19.28515625" style="14" customWidth="1"/>
    <col min="15378" max="15378" width="15.7109375" style="14" customWidth="1"/>
    <col min="15379" max="15379" width="17.7109375" style="14" customWidth="1"/>
    <col min="15380" max="15600" width="9.140625" style="14"/>
    <col min="15601" max="15601" width="21.5703125" style="14" customWidth="1"/>
    <col min="15602" max="15602" width="15.28515625" style="14" customWidth="1"/>
    <col min="15603" max="15603" width="10.85546875" style="14" customWidth="1"/>
    <col min="15604" max="15604" width="10" style="14" customWidth="1"/>
    <col min="15605" max="15605" width="10.7109375" style="14" customWidth="1"/>
    <col min="15606" max="15606" width="12.7109375" style="14" customWidth="1"/>
    <col min="15607" max="15609" width="12.28515625" style="14" customWidth="1"/>
    <col min="15610" max="15610" width="16" style="14" customWidth="1"/>
    <col min="15611" max="15615" width="18" style="14" customWidth="1"/>
    <col min="15616" max="15616" width="15.7109375" style="14" customWidth="1"/>
    <col min="15617" max="15617" width="14.28515625" style="14" customWidth="1"/>
    <col min="15618" max="15618" width="16.28515625" style="14" customWidth="1"/>
    <col min="15619" max="15619" width="12.5703125" style="14" customWidth="1"/>
    <col min="15620" max="15620" width="11.85546875" style="14" customWidth="1"/>
    <col min="15621" max="15621" width="19.28515625" style="14" customWidth="1"/>
    <col min="15622" max="15622" width="16.85546875" style="14" customWidth="1"/>
    <col min="15623" max="15623" width="17" style="14" customWidth="1"/>
    <col min="15624" max="15624" width="17.42578125" style="14" customWidth="1"/>
    <col min="15625" max="15625" width="13" style="14" customWidth="1"/>
    <col min="15626" max="15626" width="12.28515625" style="14" customWidth="1"/>
    <col min="15627" max="15627" width="19.28515625" style="14" customWidth="1"/>
    <col min="15628" max="15628" width="16.5703125" style="14" customWidth="1"/>
    <col min="15629" max="15629" width="16.28515625" style="14" customWidth="1"/>
    <col min="15630" max="15630" width="18.7109375" style="14" customWidth="1"/>
    <col min="15631" max="15631" width="12.28515625" style="14" customWidth="1"/>
    <col min="15632" max="15632" width="12.140625" style="14" customWidth="1"/>
    <col min="15633" max="15633" width="19.28515625" style="14" customWidth="1"/>
    <col min="15634" max="15634" width="15.7109375" style="14" customWidth="1"/>
    <col min="15635" max="15635" width="17.7109375" style="14" customWidth="1"/>
    <col min="15636" max="15856" width="9.140625" style="14"/>
    <col min="15857" max="15857" width="21.5703125" style="14" customWidth="1"/>
    <col min="15858" max="15858" width="15.28515625" style="14" customWidth="1"/>
    <col min="15859" max="15859" width="10.85546875" style="14" customWidth="1"/>
    <col min="15860" max="15860" width="10" style="14" customWidth="1"/>
    <col min="15861" max="15861" width="10.7109375" style="14" customWidth="1"/>
    <col min="15862" max="15862" width="12.7109375" style="14" customWidth="1"/>
    <col min="15863" max="15865" width="12.28515625" style="14" customWidth="1"/>
    <col min="15866" max="15866" width="16" style="14" customWidth="1"/>
    <col min="15867" max="15871" width="18" style="14" customWidth="1"/>
    <col min="15872" max="15872" width="15.7109375" style="14" customWidth="1"/>
    <col min="15873" max="15873" width="14.28515625" style="14" customWidth="1"/>
    <col min="15874" max="15874" width="16.28515625" style="14" customWidth="1"/>
    <col min="15875" max="15875" width="12.5703125" style="14" customWidth="1"/>
    <col min="15876" max="15876" width="11.85546875" style="14" customWidth="1"/>
    <col min="15877" max="15877" width="19.28515625" style="14" customWidth="1"/>
    <col min="15878" max="15878" width="16.85546875" style="14" customWidth="1"/>
    <col min="15879" max="15879" width="17" style="14" customWidth="1"/>
    <col min="15880" max="15880" width="17.42578125" style="14" customWidth="1"/>
    <col min="15881" max="15881" width="13" style="14" customWidth="1"/>
    <col min="15882" max="15882" width="12.28515625" style="14" customWidth="1"/>
    <col min="15883" max="15883" width="19.28515625" style="14" customWidth="1"/>
    <col min="15884" max="15884" width="16.5703125" style="14" customWidth="1"/>
    <col min="15885" max="15885" width="16.28515625" style="14" customWidth="1"/>
    <col min="15886" max="15886" width="18.7109375" style="14" customWidth="1"/>
    <col min="15887" max="15887" width="12.28515625" style="14" customWidth="1"/>
    <col min="15888" max="15888" width="12.140625" style="14" customWidth="1"/>
    <col min="15889" max="15889" width="19.28515625" style="14" customWidth="1"/>
    <col min="15890" max="15890" width="15.7109375" style="14" customWidth="1"/>
    <col min="15891" max="15891" width="17.7109375" style="14" customWidth="1"/>
    <col min="15892" max="16112" width="9.140625" style="14"/>
    <col min="16113" max="16113" width="21.5703125" style="14" customWidth="1"/>
    <col min="16114" max="16114" width="15.28515625" style="14" customWidth="1"/>
    <col min="16115" max="16115" width="10.85546875" style="14" customWidth="1"/>
    <col min="16116" max="16116" width="10" style="14" customWidth="1"/>
    <col min="16117" max="16117" width="10.7109375" style="14" customWidth="1"/>
    <col min="16118" max="16118" width="12.7109375" style="14" customWidth="1"/>
    <col min="16119" max="16121" width="12.28515625" style="14" customWidth="1"/>
    <col min="16122" max="16122" width="16" style="14" customWidth="1"/>
    <col min="16123" max="16127" width="18" style="14" customWidth="1"/>
    <col min="16128" max="16128" width="15.7109375" style="14" customWidth="1"/>
    <col min="16129" max="16129" width="14.28515625" style="14" customWidth="1"/>
    <col min="16130" max="16130" width="16.28515625" style="14" customWidth="1"/>
    <col min="16131" max="16131" width="12.5703125" style="14" customWidth="1"/>
    <col min="16132" max="16132" width="11.85546875" style="14" customWidth="1"/>
    <col min="16133" max="16133" width="19.28515625" style="14" customWidth="1"/>
    <col min="16134" max="16134" width="16.85546875" style="14" customWidth="1"/>
    <col min="16135" max="16135" width="17" style="14" customWidth="1"/>
    <col min="16136" max="16136" width="17.42578125" style="14" customWidth="1"/>
    <col min="16137" max="16137" width="13" style="14" customWidth="1"/>
    <col min="16138" max="16138" width="12.28515625" style="14" customWidth="1"/>
    <col min="16139" max="16139" width="19.28515625" style="14" customWidth="1"/>
    <col min="16140" max="16140" width="16.5703125" style="14" customWidth="1"/>
    <col min="16141" max="16141" width="16.28515625" style="14" customWidth="1"/>
    <col min="16142" max="16142" width="18.7109375" style="14" customWidth="1"/>
    <col min="16143" max="16143" width="12.28515625" style="14" customWidth="1"/>
    <col min="16144" max="16144" width="12.140625" style="14" customWidth="1"/>
    <col min="16145" max="16145" width="19.28515625" style="14" customWidth="1"/>
    <col min="16146" max="16146" width="15.7109375" style="14" customWidth="1"/>
    <col min="16147" max="16147" width="17.7109375" style="14" customWidth="1"/>
    <col min="16148" max="16378" width="9.140625" style="14"/>
    <col min="16379" max="16384" width="9.140625" style="14" customWidth="1"/>
  </cols>
  <sheetData>
    <row r="1" spans="1:21" x14ac:dyDescent="0.2">
      <c r="A1" s="1046" t="s">
        <v>404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</row>
    <row r="2" spans="1:21" s="18" customFormat="1" ht="30.6" customHeight="1" x14ac:dyDescent="0.2">
      <c r="A2" s="1031" t="s">
        <v>132</v>
      </c>
      <c r="B2" s="1045" t="str">
        <f>'Услуги связи'!B3</f>
        <v xml:space="preserve">Нормативная численность обучающихся </v>
      </c>
      <c r="C2" s="1031" t="s">
        <v>21</v>
      </c>
      <c r="D2" s="1031"/>
      <c r="E2" s="1031"/>
      <c r="F2" s="1031" t="s">
        <v>2</v>
      </c>
      <c r="G2" s="1031"/>
      <c r="H2" s="1031"/>
      <c r="I2" s="1031"/>
      <c r="J2" s="1028" t="s">
        <v>338</v>
      </c>
      <c r="K2" s="1028" t="s">
        <v>370</v>
      </c>
      <c r="L2" s="1028" t="s">
        <v>403</v>
      </c>
      <c r="M2" s="1031" t="s">
        <v>150</v>
      </c>
      <c r="N2" s="1031"/>
      <c r="O2" s="1042" t="s">
        <v>322</v>
      </c>
      <c r="P2" s="1028" t="s">
        <v>338</v>
      </c>
      <c r="Q2" s="1028" t="s">
        <v>370</v>
      </c>
      <c r="R2" s="1028" t="s">
        <v>403</v>
      </c>
    </row>
    <row r="3" spans="1:21" s="18" customFormat="1" ht="12.75" customHeight="1" x14ac:dyDescent="0.2">
      <c r="A3" s="1031"/>
      <c r="B3" s="1045"/>
      <c r="C3" s="1031">
        <v>2021</v>
      </c>
      <c r="D3" s="1031">
        <v>2022</v>
      </c>
      <c r="E3" s="1031">
        <v>2023</v>
      </c>
      <c r="F3" s="98">
        <v>2020</v>
      </c>
      <c r="G3" s="98">
        <v>2021</v>
      </c>
      <c r="H3" s="98">
        <v>2022</v>
      </c>
      <c r="I3" s="98">
        <v>2023</v>
      </c>
      <c r="J3" s="1029"/>
      <c r="K3" s="1029"/>
      <c r="L3" s="1029"/>
      <c r="M3" s="1031"/>
      <c r="N3" s="1031"/>
      <c r="O3" s="1043"/>
      <c r="P3" s="1029"/>
      <c r="Q3" s="1029"/>
      <c r="R3" s="1029"/>
    </row>
    <row r="4" spans="1:21" s="18" customFormat="1" ht="21" customHeight="1" x14ac:dyDescent="0.2">
      <c r="A4" s="1031"/>
      <c r="B4" s="1045"/>
      <c r="C4" s="1031"/>
      <c r="D4" s="1031"/>
      <c r="E4" s="1031"/>
      <c r="F4" s="1031" t="s">
        <v>22</v>
      </c>
      <c r="G4" s="1031"/>
      <c r="H4" s="1031"/>
      <c r="I4" s="1031"/>
      <c r="J4" s="1029"/>
      <c r="K4" s="1029"/>
      <c r="L4" s="1029"/>
      <c r="M4" s="1032" t="s">
        <v>21</v>
      </c>
      <c r="N4" s="1032" t="s">
        <v>33</v>
      </c>
      <c r="O4" s="1043"/>
      <c r="P4" s="1029"/>
      <c r="Q4" s="1029"/>
      <c r="R4" s="1029"/>
    </row>
    <row r="5" spans="1:21" s="18" customFormat="1" ht="39.75" customHeight="1" x14ac:dyDescent="0.2">
      <c r="A5" s="1031"/>
      <c r="B5" s="1045"/>
      <c r="C5" s="1031"/>
      <c r="D5" s="1031"/>
      <c r="E5" s="1031"/>
      <c r="F5" s="98">
        <v>1</v>
      </c>
      <c r="G5" s="98">
        <v>1.05</v>
      </c>
      <c r="H5" s="610">
        <v>1.05</v>
      </c>
      <c r="I5" s="610">
        <v>1.05</v>
      </c>
      <c r="J5" s="1030"/>
      <c r="K5" s="1030"/>
      <c r="L5" s="1030"/>
      <c r="M5" s="1030"/>
      <c r="N5" s="1030"/>
      <c r="O5" s="1044"/>
      <c r="P5" s="1030"/>
      <c r="Q5" s="1030"/>
      <c r="R5" s="1030"/>
    </row>
    <row r="6" spans="1:21" s="18" customFormat="1" x14ac:dyDescent="0.2">
      <c r="A6" s="38" t="str">
        <f>Электроэнергия!A6</f>
        <v>МАДОУ ЦРР-детский сад № 2</v>
      </c>
      <c r="B6" s="253">
        <f>Электроэнергия!B6</f>
        <v>506</v>
      </c>
      <c r="C6" s="204">
        <f>'Факт. объемы'!I7</f>
        <v>1064.23</v>
      </c>
      <c r="D6" s="204">
        <f>C6</f>
        <v>1064.23</v>
      </c>
      <c r="E6" s="204">
        <f>D6</f>
        <v>1064.23</v>
      </c>
      <c r="F6" s="689">
        <v>1959.8</v>
      </c>
      <c r="G6" s="689">
        <v>1983.11</v>
      </c>
      <c r="H6" s="689">
        <v>2037.42</v>
      </c>
      <c r="I6" s="689">
        <v>2120.14</v>
      </c>
      <c r="J6" s="204">
        <f>ROUND(C6*G6,0)</f>
        <v>2110485</v>
      </c>
      <c r="K6" s="204">
        <f>ROUND(D6*H6,0)</f>
        <v>2168283</v>
      </c>
      <c r="L6" s="204">
        <f>ROUND(E6*I6,0)</f>
        <v>2256317</v>
      </c>
      <c r="M6" s="204"/>
      <c r="N6" s="204"/>
      <c r="O6" s="600">
        <f>ROUND((C6-M6)/B6,3)</f>
        <v>2.1030000000000002</v>
      </c>
      <c r="P6" s="204">
        <f>ROUND(B6*G6*O6,2)</f>
        <v>2110263.0499999998</v>
      </c>
      <c r="Q6" s="204">
        <f>ROUND(B6*H6*O6,2)</f>
        <v>2168055.2999999998</v>
      </c>
      <c r="R6" s="204">
        <f>ROUND(B6*I6*O6,2)</f>
        <v>2256079.14</v>
      </c>
    </row>
    <row r="7" spans="1:21" s="18" customFormat="1" x14ac:dyDescent="0.2">
      <c r="A7" s="38" t="str">
        <f>Электроэнергия!A7</f>
        <v>МАДОУ ЦРР-детский сад № 11</v>
      </c>
      <c r="B7" s="253">
        <f>Электроэнергия!B7</f>
        <v>559</v>
      </c>
      <c r="C7" s="519">
        <f>'Факт. объемы'!I8</f>
        <v>1373.59</v>
      </c>
      <c r="D7" s="437">
        <f t="shared" ref="D7:E14" si="0">C7</f>
        <v>1373.59</v>
      </c>
      <c r="E7" s="437">
        <f t="shared" si="0"/>
        <v>1373.59</v>
      </c>
      <c r="F7" s="689">
        <v>1921.63</v>
      </c>
      <c r="G7" s="689">
        <v>1969.67</v>
      </c>
      <c r="H7" s="689">
        <v>2068.15</v>
      </c>
      <c r="I7" s="689">
        <v>2171.5700000000002</v>
      </c>
      <c r="J7" s="437">
        <f t="shared" ref="J7:J14" si="1">ROUND(C7*G7,0)</f>
        <v>2705519</v>
      </c>
      <c r="K7" s="437">
        <f t="shared" ref="K7:K14" si="2">ROUND(D7*H7,0)</f>
        <v>2840790</v>
      </c>
      <c r="L7" s="437">
        <f t="shared" ref="L7:L14" si="3">ROUND(E7*I7,0)</f>
        <v>2982847</v>
      </c>
      <c r="M7" s="437"/>
      <c r="N7" s="437"/>
      <c r="O7" s="383">
        <f>ROUND((C7-M7)/B7,3)</f>
        <v>2.4569999999999999</v>
      </c>
      <c r="P7" s="563">
        <f t="shared" ref="P7:P14" si="4">ROUND(B7*G7*O7,2)</f>
        <v>2705268.87</v>
      </c>
      <c r="Q7" s="689">
        <f t="shared" ref="Q7:Q14" si="5">ROUND(B7*H7*O7,2)</f>
        <v>2840527.5</v>
      </c>
      <c r="R7" s="563">
        <f t="shared" ref="R7:R14" si="6">ROUND(B7*I7*O7,2)</f>
        <v>2982571.05</v>
      </c>
    </row>
    <row r="8" spans="1:21" s="18" customFormat="1" x14ac:dyDescent="0.2">
      <c r="A8" s="38" t="str">
        <f>Электроэнергия!A8</f>
        <v>МАДОУ ЦРР-детский сад № 13</v>
      </c>
      <c r="B8" s="253">
        <f>Электроэнергия!B8</f>
        <v>633</v>
      </c>
      <c r="C8" s="722">
        <f>'Факт. объемы'!I9</f>
        <v>1484.85</v>
      </c>
      <c r="D8" s="722">
        <f t="shared" si="0"/>
        <v>1484.85</v>
      </c>
      <c r="E8" s="722">
        <f t="shared" si="0"/>
        <v>1484.85</v>
      </c>
      <c r="F8" s="722">
        <v>1959.8</v>
      </c>
      <c r="G8" s="722">
        <v>1983.11</v>
      </c>
      <c r="H8" s="722">
        <v>2037.42</v>
      </c>
      <c r="I8" s="722">
        <v>2120.14</v>
      </c>
      <c r="J8" s="722">
        <f t="shared" si="1"/>
        <v>2944621</v>
      </c>
      <c r="K8" s="722">
        <f t="shared" si="2"/>
        <v>3025263</v>
      </c>
      <c r="L8" s="722">
        <f t="shared" si="3"/>
        <v>3148090</v>
      </c>
      <c r="M8" s="722"/>
      <c r="N8" s="601"/>
      <c r="O8" s="600">
        <f>ROUND((C8-M8)/B8,3)</f>
        <v>2.3460000000000001</v>
      </c>
      <c r="P8" s="722">
        <f t="shared" si="4"/>
        <v>2944954.05</v>
      </c>
      <c r="Q8" s="722">
        <f t="shared" si="5"/>
        <v>3025605.37</v>
      </c>
      <c r="R8" s="722">
        <f t="shared" si="6"/>
        <v>3148446.06</v>
      </c>
    </row>
    <row r="9" spans="1:21" s="18" customFormat="1" x14ac:dyDescent="0.2">
      <c r="A9" s="38" t="str">
        <f>Электроэнергия!A9</f>
        <v>МАОУ СОШ № 1 структурное подразделение</v>
      </c>
      <c r="B9" s="253">
        <f>Электроэнергия!B9</f>
        <v>381</v>
      </c>
      <c r="C9" s="204">
        <f>'Факт. объемы'!I10</f>
        <v>856.57</v>
      </c>
      <c r="D9" s="204">
        <f t="shared" si="0"/>
        <v>856.57</v>
      </c>
      <c r="E9" s="204">
        <f t="shared" si="0"/>
        <v>856.57</v>
      </c>
      <c r="F9" s="689">
        <v>1959.8</v>
      </c>
      <c r="G9" s="689">
        <v>1983.11</v>
      </c>
      <c r="H9" s="689">
        <v>2037.42</v>
      </c>
      <c r="I9" s="689">
        <v>2120.14</v>
      </c>
      <c r="J9" s="204">
        <f t="shared" si="1"/>
        <v>1698673</v>
      </c>
      <c r="K9" s="204">
        <f t="shared" si="2"/>
        <v>1745193</v>
      </c>
      <c r="L9" s="204">
        <f t="shared" si="3"/>
        <v>1816048</v>
      </c>
      <c r="M9" s="601"/>
      <c r="N9" s="601"/>
      <c r="O9" s="600">
        <f>ROUND((C9-M9)/B9,3)</f>
        <v>2.2480000000000002</v>
      </c>
      <c r="P9" s="204">
        <f t="shared" si="4"/>
        <v>1698509.92</v>
      </c>
      <c r="Q9" s="689">
        <f t="shared" si="5"/>
        <v>1745025.78</v>
      </c>
      <c r="R9" s="204">
        <f t="shared" si="6"/>
        <v>1815874.47</v>
      </c>
    </row>
    <row r="10" spans="1:21" s="18" customFormat="1" ht="24" customHeight="1" x14ac:dyDescent="0.2">
      <c r="A10" s="46" t="str">
        <f>Электроэнергия!A10</f>
        <v>МАОУ СОШ № 2 им.М.И.Грибушина структурное подразделение</v>
      </c>
      <c r="B10" s="253">
        <f>Электроэнергия!B10</f>
        <v>288</v>
      </c>
      <c r="C10" s="204">
        <f>'Факт. объемы'!I11</f>
        <v>501.6</v>
      </c>
      <c r="D10" s="204">
        <f t="shared" si="0"/>
        <v>501.6</v>
      </c>
      <c r="E10" s="204">
        <f t="shared" si="0"/>
        <v>501.6</v>
      </c>
      <c r="F10" s="689">
        <v>1959.8</v>
      </c>
      <c r="G10" s="689">
        <v>1983.11</v>
      </c>
      <c r="H10" s="689">
        <v>2037.42</v>
      </c>
      <c r="I10" s="689">
        <v>2120.14</v>
      </c>
      <c r="J10" s="204">
        <f t="shared" si="1"/>
        <v>994728</v>
      </c>
      <c r="K10" s="204">
        <f t="shared" si="2"/>
        <v>1021970</v>
      </c>
      <c r="L10" s="204">
        <f t="shared" si="3"/>
        <v>1063462</v>
      </c>
      <c r="M10" s="601"/>
      <c r="N10" s="601"/>
      <c r="O10" s="600">
        <f>ROUND((C10-M10)/B10,3)</f>
        <v>1.742</v>
      </c>
      <c r="P10" s="204">
        <f t="shared" si="4"/>
        <v>994918.35</v>
      </c>
      <c r="Q10" s="689">
        <f t="shared" si="5"/>
        <v>1022165.46</v>
      </c>
      <c r="R10" s="204">
        <f t="shared" si="6"/>
        <v>1063665.76</v>
      </c>
    </row>
    <row r="11" spans="1:21" s="18" customFormat="1" x14ac:dyDescent="0.2">
      <c r="A11" s="38" t="str">
        <f>Электроэнергия!A11</f>
        <v>МАОУ СОШ № 10 структурное подразделение</v>
      </c>
      <c r="B11" s="253">
        <f>Электроэнергия!B11</f>
        <v>262</v>
      </c>
      <c r="C11" s="204">
        <f>'Факт. объемы'!I12</f>
        <v>506.3</v>
      </c>
      <c r="D11" s="204">
        <f t="shared" si="0"/>
        <v>506.3</v>
      </c>
      <c r="E11" s="204">
        <f t="shared" si="0"/>
        <v>506.3</v>
      </c>
      <c r="F11" s="689">
        <v>1959.8</v>
      </c>
      <c r="G11" s="689">
        <v>1983.11</v>
      </c>
      <c r="H11" s="689">
        <v>2037.42</v>
      </c>
      <c r="I11" s="689">
        <v>2120.14</v>
      </c>
      <c r="J11" s="204">
        <f t="shared" si="1"/>
        <v>1004049</v>
      </c>
      <c r="K11" s="204">
        <f t="shared" si="2"/>
        <v>1031546</v>
      </c>
      <c r="L11" s="204">
        <f t="shared" si="3"/>
        <v>1073427</v>
      </c>
      <c r="M11" s="204"/>
      <c r="N11" s="204"/>
      <c r="O11" s="600">
        <f t="shared" ref="O11:O14" si="7">ROUND((C11-M11)/B11,3)</f>
        <v>1.9319999999999999</v>
      </c>
      <c r="P11" s="204">
        <f t="shared" si="4"/>
        <v>1003818.55</v>
      </c>
      <c r="Q11" s="689">
        <f t="shared" si="5"/>
        <v>1031309.41</v>
      </c>
      <c r="R11" s="204">
        <f t="shared" si="6"/>
        <v>1073180.95</v>
      </c>
    </row>
    <row r="12" spans="1:21" s="18" customFormat="1" x14ac:dyDescent="0.2">
      <c r="A12" s="38" t="str">
        <f>Электроэнергия!A12</f>
        <v>МАОУ СОШ № 13 структурное подразделение</v>
      </c>
      <c r="B12" s="253">
        <f>Электроэнергия!B12</f>
        <v>224</v>
      </c>
      <c r="C12" s="519">
        <f>'Факт. объемы'!I13</f>
        <v>415.91</v>
      </c>
      <c r="D12" s="437">
        <f t="shared" si="0"/>
        <v>415.91</v>
      </c>
      <c r="E12" s="437">
        <f t="shared" si="0"/>
        <v>415.91</v>
      </c>
      <c r="F12" s="204">
        <v>1976.88</v>
      </c>
      <c r="G12" s="204">
        <v>2026.3</v>
      </c>
      <c r="H12" s="204">
        <v>2114.12</v>
      </c>
      <c r="I12" s="204">
        <v>2206.34</v>
      </c>
      <c r="J12" s="437">
        <f t="shared" si="1"/>
        <v>842758</v>
      </c>
      <c r="K12" s="437">
        <f t="shared" si="2"/>
        <v>879284</v>
      </c>
      <c r="L12" s="437">
        <f t="shared" si="3"/>
        <v>917639</v>
      </c>
      <c r="M12" s="437"/>
      <c r="N12" s="437"/>
      <c r="O12" s="383">
        <f t="shared" si="7"/>
        <v>1.857</v>
      </c>
      <c r="P12" s="563">
        <f t="shared" si="4"/>
        <v>842875.96</v>
      </c>
      <c r="Q12" s="689">
        <f t="shared" si="5"/>
        <v>879406.27</v>
      </c>
      <c r="R12" s="563">
        <f t="shared" si="6"/>
        <v>917766.84</v>
      </c>
    </row>
    <row r="13" spans="1:21" s="18" customFormat="1" x14ac:dyDescent="0.2">
      <c r="A13" s="38" t="str">
        <f>Электроэнергия!A13</f>
        <v>Гимназия № 16 структурное подразделение</v>
      </c>
      <c r="B13" s="253">
        <f>Электроэнергия!B13</f>
        <v>456</v>
      </c>
      <c r="C13" s="204">
        <f>'Факт. объемы'!I14</f>
        <v>1010.01</v>
      </c>
      <c r="D13" s="204">
        <f t="shared" si="0"/>
        <v>1010.01</v>
      </c>
      <c r="E13" s="204">
        <f t="shared" si="0"/>
        <v>1010.01</v>
      </c>
      <c r="F13" s="689">
        <v>1959.8</v>
      </c>
      <c r="G13" s="689">
        <v>1983.11</v>
      </c>
      <c r="H13" s="689">
        <v>2037.42</v>
      </c>
      <c r="I13" s="689">
        <v>2120.14</v>
      </c>
      <c r="J13" s="204">
        <f t="shared" si="1"/>
        <v>2002961</v>
      </c>
      <c r="K13" s="204">
        <f t="shared" si="2"/>
        <v>2057815</v>
      </c>
      <c r="L13" s="204">
        <f t="shared" si="3"/>
        <v>2141363</v>
      </c>
      <c r="M13" s="204"/>
      <c r="N13" s="204"/>
      <c r="O13" s="600">
        <f t="shared" si="7"/>
        <v>2.2149999999999999</v>
      </c>
      <c r="P13" s="204">
        <f t="shared" si="4"/>
        <v>2003020.42</v>
      </c>
      <c r="Q13" s="689">
        <f t="shared" si="5"/>
        <v>2057875.7</v>
      </c>
      <c r="R13" s="204">
        <f t="shared" si="6"/>
        <v>2141426.21</v>
      </c>
    </row>
    <row r="14" spans="1:21" s="18" customFormat="1" ht="27.75" customHeight="1" thickBot="1" x14ac:dyDescent="0.25">
      <c r="A14" s="46" t="str">
        <f>Электроэнергия!A14</f>
        <v>МАОУ ООШ № 17 с кадетскими классами структурное подразделение</v>
      </c>
      <c r="B14" s="253">
        <f>Электроэнергия!B14</f>
        <v>189</v>
      </c>
      <c r="C14" s="519">
        <f>'Факт. объемы'!I15</f>
        <v>223.21</v>
      </c>
      <c r="D14" s="437">
        <f t="shared" si="0"/>
        <v>223.21</v>
      </c>
      <c r="E14" s="437">
        <f t="shared" si="0"/>
        <v>223.21</v>
      </c>
      <c r="F14" s="696">
        <v>6352.52</v>
      </c>
      <c r="G14" s="696">
        <v>6352.52</v>
      </c>
      <c r="H14" s="696">
        <v>6670.15</v>
      </c>
      <c r="I14" s="696">
        <v>7003.65</v>
      </c>
      <c r="J14" s="437">
        <f t="shared" si="1"/>
        <v>1417946</v>
      </c>
      <c r="K14" s="437">
        <f t="shared" si="2"/>
        <v>1488844</v>
      </c>
      <c r="L14" s="437">
        <f t="shared" si="3"/>
        <v>1563285</v>
      </c>
      <c r="M14" s="437"/>
      <c r="N14" s="437"/>
      <c r="O14" s="383">
        <f t="shared" si="7"/>
        <v>1.181</v>
      </c>
      <c r="P14" s="563">
        <f t="shared" si="4"/>
        <v>1417939.64</v>
      </c>
      <c r="Q14" s="689">
        <f t="shared" si="5"/>
        <v>1488837.51</v>
      </c>
      <c r="R14" s="563">
        <f t="shared" si="6"/>
        <v>1563277.71</v>
      </c>
    </row>
    <row r="15" spans="1:21" s="18" customFormat="1" ht="13.5" thickBot="1" x14ac:dyDescent="0.25">
      <c r="A15" s="109" t="s">
        <v>1</v>
      </c>
      <c r="B15" s="296">
        <f>SUM(B6:B14)</f>
        <v>3498</v>
      </c>
      <c r="C15" s="110">
        <f>SUM(C6:C14)</f>
        <v>7436.27</v>
      </c>
      <c r="D15" s="110">
        <f>SUM(D6:D14)</f>
        <v>7436.27</v>
      </c>
      <c r="E15" s="110">
        <f>SUM(E6:E14)</f>
        <v>7436.27</v>
      </c>
      <c r="F15" s="110">
        <f>ROUND(AVERAGE(F6:F14),2)</f>
        <v>2445.54</v>
      </c>
      <c r="G15" s="110">
        <f>ROUND(AVERAGE(G6:G14),2)</f>
        <v>2471.91</v>
      </c>
      <c r="H15" s="110">
        <f>ROUND(AVERAGE(H6:H14),2)</f>
        <v>2564.1</v>
      </c>
      <c r="I15" s="110">
        <f>ROUND(AVERAGE(I6:I14),2)</f>
        <v>2678.04</v>
      </c>
      <c r="J15" s="108">
        <f>SUM(J6:J14)</f>
        <v>15721740</v>
      </c>
      <c r="K15" s="108">
        <f>SUM(K6:K14)</f>
        <v>16258988</v>
      </c>
      <c r="L15" s="108">
        <f>SUM(L6:L14)</f>
        <v>16962478</v>
      </c>
      <c r="M15" s="110">
        <f>SUM(M6:M14)</f>
        <v>0</v>
      </c>
      <c r="N15" s="110">
        <f>SUM(N6:N14)</f>
        <v>0</v>
      </c>
      <c r="O15" s="384">
        <f>ROUND(MEDIAN(O6:O14),3)</f>
        <v>2.1030000000000002</v>
      </c>
      <c r="P15" s="110">
        <f>SUM(P6:P14)</f>
        <v>15721568.810000001</v>
      </c>
      <c r="Q15" s="110">
        <f>SUM(Q6:Q14)</f>
        <v>16258808.299999999</v>
      </c>
      <c r="R15" s="340">
        <f>SUM(R6:R14)</f>
        <v>16962288.190000001</v>
      </c>
    </row>
    <row r="16" spans="1:21" s="18" customFormat="1" x14ac:dyDescent="0.2">
      <c r="A16" s="144"/>
      <c r="B16" s="144"/>
      <c r="C16" s="145"/>
      <c r="D16" s="145"/>
      <c r="E16" s="145"/>
      <c r="F16" s="145"/>
      <c r="G16" s="145"/>
      <c r="H16" s="145"/>
      <c r="I16" s="145"/>
      <c r="J16" s="146"/>
      <c r="K16" s="146"/>
      <c r="L16" s="146"/>
      <c r="M16" s="145"/>
      <c r="N16" s="138" t="s">
        <v>234</v>
      </c>
      <c r="O16" s="441"/>
      <c r="P16" s="141">
        <f>ROUND(G15*O15,2)</f>
        <v>5198.43</v>
      </c>
      <c r="Q16" s="141">
        <f>ROUND(H15*O15,2)</f>
        <v>5392.3</v>
      </c>
      <c r="R16" s="141">
        <f>ROUND(I15*O15,2)</f>
        <v>5631.92</v>
      </c>
      <c r="U16" s="145"/>
    </row>
    <row r="17" spans="1:21" x14ac:dyDescent="0.2">
      <c r="A17" s="29"/>
      <c r="B17" s="29"/>
      <c r="C17" s="89"/>
      <c r="D17" s="89"/>
      <c r="E17" s="89"/>
      <c r="F17" s="29"/>
      <c r="G17" s="29"/>
      <c r="H17" s="29"/>
      <c r="I17" s="29"/>
      <c r="M17" s="29"/>
      <c r="N17" s="29"/>
      <c r="O17" s="29"/>
      <c r="P17" s="29"/>
      <c r="Q17" s="29"/>
      <c r="R17" s="29"/>
    </row>
    <row r="18" spans="1:21" x14ac:dyDescent="0.2">
      <c r="A18" s="41" t="s">
        <v>369</v>
      </c>
      <c r="B18" s="41"/>
      <c r="C18" s="43"/>
      <c r="D18" s="43"/>
      <c r="E18" s="43"/>
      <c r="J18" s="78"/>
      <c r="K18" s="78"/>
      <c r="L18" s="78"/>
    </row>
    <row r="19" spans="1:21" s="18" customFormat="1" ht="13.5" thickBot="1" x14ac:dyDescent="0.25">
      <c r="A19" s="38" t="str">
        <f>A8</f>
        <v>МАДОУ ЦРР-детский сад № 13</v>
      </c>
      <c r="B19" s="517">
        <f>B8</f>
        <v>633</v>
      </c>
      <c r="C19" s="198">
        <f>'Факт. объемы'!V9</f>
        <v>21</v>
      </c>
      <c r="D19" s="200">
        <f>C19</f>
        <v>21</v>
      </c>
      <c r="E19" s="200">
        <f>C19</f>
        <v>21</v>
      </c>
      <c r="F19" s="611">
        <v>5177.6099999999997</v>
      </c>
      <c r="G19" s="612">
        <v>5307.05</v>
      </c>
      <c r="H19" s="612">
        <v>5572.4</v>
      </c>
      <c r="I19" s="612">
        <v>5851.02</v>
      </c>
      <c r="J19" s="197">
        <f>C19*G19</f>
        <v>111448.05</v>
      </c>
      <c r="K19" s="197">
        <f>D19*H19</f>
        <v>117020.4</v>
      </c>
      <c r="L19" s="197">
        <f>E19*I19</f>
        <v>122871.42000000001</v>
      </c>
      <c r="M19" s="199"/>
      <c r="N19" s="199"/>
      <c r="O19" s="383">
        <f>ROUND(C19/B19,3)</f>
        <v>3.3000000000000002E-2</v>
      </c>
      <c r="P19" s="563">
        <f>ROUND(B19*G19*O19,2)</f>
        <v>110858.97</v>
      </c>
      <c r="Q19" s="563">
        <f>ROUND(B19*H19*O19,2)</f>
        <v>116401.86</v>
      </c>
      <c r="R19" s="563">
        <f>ROUND(B19*I19*O19,2)</f>
        <v>122221.96</v>
      </c>
    </row>
    <row r="20" spans="1:21" ht="13.5" thickBot="1" x14ac:dyDescent="0.25">
      <c r="A20" s="109" t="s">
        <v>1</v>
      </c>
      <c r="B20" s="295">
        <f>B19</f>
        <v>633</v>
      </c>
      <c r="C20" s="110">
        <f>SUM(C19:C19)</f>
        <v>21</v>
      </c>
      <c r="D20" s="110">
        <f>SUM(D19:D19)</f>
        <v>21</v>
      </c>
      <c r="E20" s="110">
        <f>SUM(E19:E19)</f>
        <v>21</v>
      </c>
      <c r="F20" s="110">
        <f>F19</f>
        <v>5177.6099999999997</v>
      </c>
      <c r="G20" s="110">
        <f>G19</f>
        <v>5307.05</v>
      </c>
      <c r="H20" s="110">
        <f>H19</f>
        <v>5572.4</v>
      </c>
      <c r="I20" s="110">
        <f>I19</f>
        <v>5851.02</v>
      </c>
      <c r="J20" s="108">
        <f>SUM(J19:J19)</f>
        <v>111448.05</v>
      </c>
      <c r="K20" s="108">
        <f>SUM(K19:K19)</f>
        <v>117020.4</v>
      </c>
      <c r="L20" s="108">
        <f>SUM(L19:L19)</f>
        <v>122871.42000000001</v>
      </c>
      <c r="M20" s="108">
        <f>SUM(M19:M19)</f>
        <v>0</v>
      </c>
      <c r="N20" s="108">
        <f>SUM(N19:N19)</f>
        <v>0</v>
      </c>
      <c r="O20" s="384">
        <f>ROUND(MEDIAN(O19),3)</f>
        <v>3.3000000000000002E-2</v>
      </c>
      <c r="P20" s="108">
        <f>SUM(P19:P19)</f>
        <v>110858.97</v>
      </c>
      <c r="Q20" s="108">
        <f>SUM(Q19:Q19)</f>
        <v>116401.86</v>
      </c>
      <c r="R20" s="108">
        <f>SUM(R19:R19)</f>
        <v>122221.96</v>
      </c>
    </row>
    <row r="21" spans="1:21" ht="13.15" customHeight="1" x14ac:dyDescent="0.2">
      <c r="A21" s="144"/>
      <c r="B21" s="144"/>
      <c r="C21" s="145"/>
      <c r="D21" s="145"/>
      <c r="E21" s="145"/>
      <c r="F21" s="145"/>
      <c r="G21" s="145"/>
      <c r="H21" s="145"/>
      <c r="I21" s="145"/>
      <c r="J21" s="146"/>
      <c r="K21" s="146"/>
      <c r="L21" s="146"/>
      <c r="M21" s="145"/>
      <c r="N21" s="138" t="s">
        <v>234</v>
      </c>
      <c r="O21" s="441"/>
      <c r="P21" s="141">
        <f>ROUND(G20*O20*50%,2)</f>
        <v>87.57</v>
      </c>
      <c r="Q21" s="141">
        <f>ROUND(H20*O20*50%,2)</f>
        <v>91.94</v>
      </c>
      <c r="R21" s="141">
        <f>ROUND(I20*O20*50%,2)</f>
        <v>96.54</v>
      </c>
      <c r="U21" s="145"/>
    </row>
    <row r="22" spans="1:21" x14ac:dyDescent="0.2">
      <c r="J22" s="143"/>
      <c r="K22" s="143"/>
      <c r="L22" s="143"/>
      <c r="Q22" s="63"/>
      <c r="R22" s="63"/>
    </row>
    <row r="23" spans="1:21" x14ac:dyDescent="0.2">
      <c r="I23" s="78"/>
      <c r="J23" s="18"/>
      <c r="K23" s="18"/>
      <c r="L23" s="18"/>
      <c r="M23" s="78"/>
      <c r="N23" s="78"/>
      <c r="O23" s="78"/>
      <c r="Q23" s="63"/>
    </row>
    <row r="24" spans="1:21" x14ac:dyDescent="0.2">
      <c r="J24" s="18"/>
      <c r="K24" s="18"/>
      <c r="L24" s="18"/>
      <c r="P24" s="63"/>
      <c r="Q24" s="63"/>
      <c r="R24" s="63"/>
    </row>
    <row r="25" spans="1:21" x14ac:dyDescent="0.2">
      <c r="A25" s="14" t="s">
        <v>532</v>
      </c>
      <c r="J25" s="18"/>
      <c r="K25" s="18"/>
      <c r="L25" s="18"/>
    </row>
    <row r="26" spans="1:21" ht="6" customHeight="1" x14ac:dyDescent="0.2">
      <c r="J26" s="18"/>
      <c r="K26" s="18"/>
      <c r="L26" s="18"/>
    </row>
    <row r="27" spans="1:21" x14ac:dyDescent="0.2">
      <c r="A27" s="1051" t="s">
        <v>540</v>
      </c>
      <c r="B27" s="701" t="s">
        <v>514</v>
      </c>
      <c r="C27" s="702" t="s">
        <v>515</v>
      </c>
      <c r="E27" s="701" t="s">
        <v>519</v>
      </c>
      <c r="F27" s="702"/>
      <c r="G27" s="702"/>
      <c r="H27" s="29"/>
      <c r="J27" s="18"/>
      <c r="K27" s="18"/>
      <c r="L27" s="18"/>
      <c r="P27" s="63"/>
      <c r="Q27" s="63"/>
      <c r="R27" s="63"/>
    </row>
    <row r="28" spans="1:21" x14ac:dyDescent="0.2">
      <c r="A28" s="1051"/>
      <c r="B28" s="1047" t="s">
        <v>516</v>
      </c>
      <c r="C28" s="703" t="s">
        <v>517</v>
      </c>
      <c r="D28" s="703" t="s">
        <v>519</v>
      </c>
      <c r="E28" s="1049" t="s">
        <v>520</v>
      </c>
      <c r="F28" s="1049"/>
      <c r="G28" s="1049"/>
      <c r="H28" s="704"/>
      <c r="J28" s="18"/>
      <c r="K28" s="18"/>
      <c r="L28" s="18"/>
    </row>
    <row r="29" spans="1:21" x14ac:dyDescent="0.2">
      <c r="A29" s="1051"/>
      <c r="B29" s="1048"/>
      <c r="C29" s="702" t="s">
        <v>524</v>
      </c>
      <c r="D29" s="702" t="s">
        <v>518</v>
      </c>
      <c r="E29" s="1050"/>
      <c r="F29" s="1050"/>
      <c r="G29" s="1050"/>
      <c r="H29" s="704"/>
      <c r="J29" s="18"/>
      <c r="K29" s="18"/>
      <c r="L29" s="18"/>
      <c r="P29" s="63"/>
      <c r="Q29" s="63"/>
      <c r="R29" s="63"/>
    </row>
    <row r="30" spans="1:21" x14ac:dyDescent="0.2">
      <c r="A30" s="1051"/>
      <c r="B30" s="1047" t="s">
        <v>521</v>
      </c>
      <c r="C30" s="703" t="s">
        <v>522</v>
      </c>
      <c r="D30" s="703" t="s">
        <v>518</v>
      </c>
      <c r="E30" s="1049" t="s">
        <v>526</v>
      </c>
      <c r="F30" s="1049"/>
      <c r="G30" s="1049"/>
      <c r="H30" s="704"/>
      <c r="J30" s="18"/>
      <c r="K30" s="18"/>
      <c r="L30" s="18"/>
    </row>
    <row r="31" spans="1:21" x14ac:dyDescent="0.2">
      <c r="A31" s="1051"/>
      <c r="B31" s="1048"/>
      <c r="C31" s="702" t="s">
        <v>523</v>
      </c>
      <c r="D31" s="702" t="s">
        <v>525</v>
      </c>
      <c r="E31" s="1050"/>
      <c r="F31" s="1050"/>
      <c r="G31" s="1050"/>
      <c r="H31" s="704"/>
      <c r="J31" s="18"/>
      <c r="K31" s="18"/>
      <c r="L31" s="18"/>
      <c r="P31" s="63"/>
      <c r="Q31" s="63"/>
      <c r="R31" s="63"/>
    </row>
    <row r="32" spans="1:21" x14ac:dyDescent="0.2">
      <c r="A32" s="1051"/>
      <c r="B32" s="1047" t="s">
        <v>527</v>
      </c>
      <c r="C32" s="703" t="s">
        <v>528</v>
      </c>
      <c r="D32" s="703" t="s">
        <v>525</v>
      </c>
      <c r="E32" s="1049" t="s">
        <v>531</v>
      </c>
      <c r="F32" s="1049"/>
      <c r="G32" s="1049"/>
      <c r="H32" s="29"/>
      <c r="J32" s="18"/>
      <c r="K32" s="18"/>
      <c r="L32" s="18"/>
    </row>
    <row r="33" spans="1:18" x14ac:dyDescent="0.2">
      <c r="A33" s="1052"/>
      <c r="B33" s="1048"/>
      <c r="C33" s="702" t="s">
        <v>529</v>
      </c>
      <c r="D33" s="702" t="s">
        <v>530</v>
      </c>
      <c r="E33" s="1050"/>
      <c r="F33" s="1050"/>
      <c r="G33" s="1050"/>
      <c r="H33" s="29"/>
      <c r="J33" s="18"/>
      <c r="K33" s="18"/>
      <c r="L33" s="18"/>
      <c r="P33" s="63"/>
      <c r="Q33" s="63"/>
      <c r="R33" s="63"/>
    </row>
    <row r="34" spans="1:18" x14ac:dyDescent="0.2">
      <c r="A34" s="1053" t="s">
        <v>541</v>
      </c>
      <c r="B34" s="701" t="s">
        <v>514</v>
      </c>
      <c r="C34" s="702" t="s">
        <v>515</v>
      </c>
      <c r="E34" s="701" t="s">
        <v>533</v>
      </c>
      <c r="F34" s="702"/>
      <c r="G34" s="702"/>
      <c r="J34" s="18"/>
      <c r="K34" s="18"/>
      <c r="L34" s="18"/>
    </row>
    <row r="35" spans="1:18" x14ac:dyDescent="0.2">
      <c r="A35" s="1053"/>
      <c r="B35" s="1047" t="s">
        <v>516</v>
      </c>
      <c r="C35" s="703" t="s">
        <v>517</v>
      </c>
      <c r="D35" s="703" t="s">
        <v>533</v>
      </c>
      <c r="E35" s="1049" t="s">
        <v>537</v>
      </c>
      <c r="F35" s="1049"/>
      <c r="G35" s="1049"/>
      <c r="J35" s="18"/>
      <c r="K35" s="18"/>
      <c r="L35" s="18"/>
      <c r="P35" s="63"/>
      <c r="Q35" s="63"/>
      <c r="R35" s="63"/>
    </row>
    <row r="36" spans="1:18" x14ac:dyDescent="0.2">
      <c r="A36" s="1053"/>
      <c r="B36" s="1048"/>
      <c r="C36" s="702" t="s">
        <v>524</v>
      </c>
      <c r="D36" s="702" t="s">
        <v>534</v>
      </c>
      <c r="E36" s="1050"/>
      <c r="F36" s="1050"/>
      <c r="G36" s="1050"/>
      <c r="J36" s="18"/>
      <c r="K36" s="18"/>
      <c r="L36" s="18"/>
    </row>
    <row r="37" spans="1:18" x14ac:dyDescent="0.2">
      <c r="A37" s="1053"/>
      <c r="B37" s="1047" t="s">
        <v>521</v>
      </c>
      <c r="C37" s="703" t="s">
        <v>522</v>
      </c>
      <c r="D37" s="703" t="s">
        <v>534</v>
      </c>
      <c r="E37" s="1049" t="s">
        <v>538</v>
      </c>
      <c r="F37" s="1049"/>
      <c r="G37" s="1049"/>
      <c r="J37" s="18"/>
      <c r="K37" s="18"/>
      <c r="L37" s="18"/>
      <c r="Q37" s="63"/>
      <c r="R37" s="63"/>
    </row>
    <row r="38" spans="1:18" x14ac:dyDescent="0.2">
      <c r="A38" s="1053"/>
      <c r="B38" s="1048"/>
      <c r="C38" s="702" t="s">
        <v>523</v>
      </c>
      <c r="D38" s="702" t="s">
        <v>535</v>
      </c>
      <c r="E38" s="1050"/>
      <c r="F38" s="1050"/>
      <c r="G38" s="1050"/>
      <c r="J38" s="18"/>
      <c r="K38" s="18"/>
      <c r="L38" s="18"/>
    </row>
    <row r="39" spans="1:18" x14ac:dyDescent="0.2">
      <c r="A39" s="1053"/>
      <c r="B39" s="1047" t="s">
        <v>527</v>
      </c>
      <c r="C39" s="703" t="s">
        <v>528</v>
      </c>
      <c r="D39" s="703" t="s">
        <v>535</v>
      </c>
      <c r="E39" s="1049" t="s">
        <v>539</v>
      </c>
      <c r="F39" s="1049"/>
      <c r="G39" s="1049"/>
      <c r="J39" s="18"/>
      <c r="K39" s="18"/>
      <c r="L39" s="18"/>
    </row>
    <row r="40" spans="1:18" x14ac:dyDescent="0.2">
      <c r="A40" s="1053"/>
      <c r="B40" s="1048"/>
      <c r="C40" s="702" t="s">
        <v>529</v>
      </c>
      <c r="D40" s="702" t="s">
        <v>536</v>
      </c>
      <c r="E40" s="1050"/>
      <c r="F40" s="1050"/>
      <c r="G40" s="1050"/>
    </row>
    <row r="42" spans="1:18" x14ac:dyDescent="0.2">
      <c r="A42" s="14" t="s">
        <v>546</v>
      </c>
    </row>
    <row r="43" spans="1:18" ht="3" customHeight="1" x14ac:dyDescent="0.2"/>
    <row r="44" spans="1:18" x14ac:dyDescent="0.2">
      <c r="A44" s="1051" t="s">
        <v>542</v>
      </c>
      <c r="B44" s="701" t="s">
        <v>514</v>
      </c>
      <c r="C44" s="702" t="s">
        <v>515</v>
      </c>
      <c r="D44" s="29"/>
      <c r="E44" s="701" t="s">
        <v>543</v>
      </c>
      <c r="F44" s="702"/>
      <c r="G44" s="702"/>
    </row>
    <row r="45" spans="1:18" x14ac:dyDescent="0.2">
      <c r="A45" s="1051"/>
      <c r="B45" s="1047" t="s">
        <v>516</v>
      </c>
      <c r="C45" s="703" t="s">
        <v>517</v>
      </c>
      <c r="D45" s="703" t="s">
        <v>543</v>
      </c>
      <c r="E45" s="1049" t="s">
        <v>545</v>
      </c>
      <c r="F45" s="1049"/>
      <c r="G45" s="1049"/>
    </row>
    <row r="46" spans="1:18" x14ac:dyDescent="0.2">
      <c r="A46" s="1051"/>
      <c r="B46" s="1048"/>
      <c r="C46" s="702" t="s">
        <v>524</v>
      </c>
      <c r="D46" s="702" t="s">
        <v>544</v>
      </c>
      <c r="E46" s="1050"/>
      <c r="F46" s="1050"/>
      <c r="G46" s="1050"/>
    </row>
    <row r="47" spans="1:18" x14ac:dyDescent="0.2">
      <c r="A47" s="1051"/>
      <c r="B47" s="705" t="s">
        <v>521</v>
      </c>
      <c r="C47" s="703"/>
      <c r="D47" s="703" t="s">
        <v>547</v>
      </c>
      <c r="E47" s="1054" t="s">
        <v>548</v>
      </c>
      <c r="F47" s="1054"/>
      <c r="G47" s="1054"/>
    </row>
    <row r="48" spans="1:18" x14ac:dyDescent="0.2">
      <c r="A48" s="1052"/>
      <c r="B48" s="706" t="s">
        <v>527</v>
      </c>
      <c r="C48" s="707"/>
      <c r="D48" s="707" t="s">
        <v>549</v>
      </c>
      <c r="E48" s="1055" t="s">
        <v>550</v>
      </c>
      <c r="F48" s="1056"/>
      <c r="G48" s="1056"/>
    </row>
  </sheetData>
  <mergeCells count="38">
    <mergeCell ref="A44:A48"/>
    <mergeCell ref="B45:B46"/>
    <mergeCell ref="E45:G46"/>
    <mergeCell ref="E47:G47"/>
    <mergeCell ref="E48:G48"/>
    <mergeCell ref="E35:G36"/>
    <mergeCell ref="E37:G38"/>
    <mergeCell ref="E39:G40"/>
    <mergeCell ref="B28:B29"/>
    <mergeCell ref="B30:B31"/>
    <mergeCell ref="E28:G29"/>
    <mergeCell ref="E30:G31"/>
    <mergeCell ref="A27:A33"/>
    <mergeCell ref="A34:A40"/>
    <mergeCell ref="B35:B36"/>
    <mergeCell ref="B37:B38"/>
    <mergeCell ref="B39:B40"/>
    <mergeCell ref="M4:M5"/>
    <mergeCell ref="N4:N5"/>
    <mergeCell ref="O2:O5"/>
    <mergeCell ref="B32:B33"/>
    <mergeCell ref="E32:G33"/>
    <mergeCell ref="A1:R1"/>
    <mergeCell ref="A2:A5"/>
    <mergeCell ref="C2:E2"/>
    <mergeCell ref="F2:I2"/>
    <mergeCell ref="F4:I4"/>
    <mergeCell ref="C3:C5"/>
    <mergeCell ref="D3:D5"/>
    <mergeCell ref="E3:E5"/>
    <mergeCell ref="B2:B5"/>
    <mergeCell ref="P2:P5"/>
    <mergeCell ref="Q2:Q5"/>
    <mergeCell ref="R2:R5"/>
    <mergeCell ref="J2:J5"/>
    <mergeCell ref="K2:K5"/>
    <mergeCell ref="L2:L5"/>
    <mergeCell ref="M2:N3"/>
  </mergeCells>
  <pageMargins left="0.74803149606299213" right="0.74803149606299213" top="0.98425196850393704" bottom="0.98425196850393704" header="0.51181102362204722" footer="0.51181102362204722"/>
  <pageSetup paperSize="9" scale="43" orientation="landscape" r:id="rId1"/>
  <headerFooter alignWithMargins="0"/>
  <colBreaks count="1" manualBreakCount="1">
    <brk id="18" max="1048575" man="1"/>
  </colBreaks>
  <ignoredErrors>
    <ignoredError sqref="O20" formula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8">
    <pageSetUpPr fitToPage="1"/>
  </sheetPr>
  <dimension ref="A1:W490"/>
  <sheetViews>
    <sheetView zoomScaleNormal="100" zoomScaleSheetLayoutView="75" workbookViewId="0">
      <pane xSplit="2" ySplit="4" topLeftCell="L5" activePane="bottomRight" state="frozen"/>
      <selection pane="topRight" activeCell="C1" sqref="C1"/>
      <selection pane="bottomLeft" activeCell="A5" sqref="A5"/>
      <selection pane="bottomRight" activeCell="X321" sqref="X321"/>
    </sheetView>
  </sheetViews>
  <sheetFormatPr defaultColWidth="9.140625" defaultRowHeight="12.75" outlineLevelRow="2" x14ac:dyDescent="0.2"/>
  <cols>
    <col min="1" max="1" width="30.28515625" style="170" customWidth="1"/>
    <col min="2" max="2" width="11.28515625" style="170" customWidth="1"/>
    <col min="3" max="3" width="6.7109375" style="170" customWidth="1"/>
    <col min="4" max="4" width="9.140625" style="170"/>
    <col min="5" max="5" width="5.140625" style="170" customWidth="1"/>
    <col min="6" max="6" width="8.42578125" style="170" customWidth="1"/>
    <col min="7" max="7" width="7.28515625" style="170" customWidth="1"/>
    <col min="8" max="8" width="9.140625" style="170" customWidth="1"/>
    <col min="9" max="9" width="6.85546875" style="170" customWidth="1"/>
    <col min="10" max="10" width="4.7109375" style="170" customWidth="1"/>
    <col min="11" max="11" width="6.42578125" style="170" customWidth="1"/>
    <col min="12" max="12" width="6.85546875" style="170" customWidth="1"/>
    <col min="13" max="13" width="9.28515625" style="170" customWidth="1"/>
    <col min="14" max="14" width="7.28515625" style="170" customWidth="1"/>
    <col min="15" max="15" width="11.42578125" style="573" customWidth="1"/>
    <col min="16" max="16" width="14.5703125" style="170" customWidth="1"/>
    <col min="17" max="17" width="13.28515625" style="170" customWidth="1"/>
    <col min="18" max="18" width="17.85546875" style="170" customWidth="1"/>
    <col min="19" max="19" width="18.42578125" style="170" customWidth="1"/>
    <col min="20" max="16384" width="9.140625" style="170"/>
  </cols>
  <sheetData>
    <row r="1" spans="1:19" ht="19.149999999999999" customHeight="1" x14ac:dyDescent="0.2">
      <c r="A1" s="1260" t="s">
        <v>390</v>
      </c>
      <c r="B1" s="1260"/>
      <c r="C1" s="1260"/>
      <c r="D1" s="1260"/>
      <c r="E1" s="1260"/>
      <c r="F1" s="1260"/>
      <c r="G1" s="1260"/>
      <c r="H1" s="1260"/>
      <c r="I1" s="1260"/>
      <c r="J1" s="1260"/>
      <c r="K1" s="1260"/>
      <c r="L1" s="1260"/>
      <c r="M1" s="1260"/>
      <c r="N1" s="1260"/>
      <c r="O1" s="1260"/>
      <c r="P1" s="1260"/>
      <c r="Q1" s="1260"/>
    </row>
    <row r="2" spans="1:19" x14ac:dyDescent="0.2">
      <c r="A2" s="1261" t="s">
        <v>429</v>
      </c>
      <c r="B2" s="1262"/>
      <c r="C2" s="1262"/>
      <c r="D2" s="1262"/>
      <c r="E2" s="1262"/>
      <c r="F2" s="1262"/>
      <c r="G2" s="1262"/>
      <c r="H2" s="1262"/>
      <c r="I2" s="1262"/>
      <c r="J2" s="1262"/>
      <c r="K2" s="1262"/>
      <c r="L2" s="1262"/>
      <c r="M2" s="1262"/>
      <c r="N2" s="1262"/>
      <c r="O2" s="1262"/>
      <c r="P2" s="1262"/>
      <c r="Q2" s="1262"/>
    </row>
    <row r="3" spans="1:19" ht="80.25" customHeight="1" x14ac:dyDescent="0.2">
      <c r="A3" s="1263" t="s">
        <v>243</v>
      </c>
      <c r="B3" s="1221" t="s">
        <v>217</v>
      </c>
      <c r="C3" s="1221" t="s">
        <v>218</v>
      </c>
      <c r="D3" s="1221"/>
      <c r="E3" s="1221"/>
      <c r="F3" s="1221" t="s">
        <v>244</v>
      </c>
      <c r="G3" s="1221"/>
      <c r="H3" s="1221"/>
      <c r="I3" s="1221"/>
      <c r="J3" s="1221"/>
      <c r="K3" s="1221"/>
      <c r="L3" s="1221"/>
      <c r="M3" s="1263" t="s">
        <v>245</v>
      </c>
      <c r="N3" s="1221" t="s">
        <v>237</v>
      </c>
      <c r="O3" s="1224" t="s">
        <v>246</v>
      </c>
      <c r="P3" s="1221" t="s">
        <v>184</v>
      </c>
      <c r="Q3" s="1221" t="s">
        <v>68</v>
      </c>
    </row>
    <row r="4" spans="1:19" ht="30" customHeight="1" x14ac:dyDescent="0.2">
      <c r="A4" s="1264"/>
      <c r="B4" s="1221"/>
      <c r="C4" s="164" t="s">
        <v>220</v>
      </c>
      <c r="D4" s="164" t="s">
        <v>221</v>
      </c>
      <c r="E4" s="164" t="s">
        <v>222</v>
      </c>
      <c r="F4" s="164" t="s">
        <v>223</v>
      </c>
      <c r="G4" s="164" t="s">
        <v>224</v>
      </c>
      <c r="H4" s="164" t="s">
        <v>225</v>
      </c>
      <c r="I4" s="164" t="s">
        <v>226</v>
      </c>
      <c r="J4" s="164" t="s">
        <v>227</v>
      </c>
      <c r="K4" s="164" t="s">
        <v>228</v>
      </c>
      <c r="L4" s="164" t="s">
        <v>229</v>
      </c>
      <c r="M4" s="1264"/>
      <c r="N4" s="1221"/>
      <c r="O4" s="1224"/>
      <c r="P4" s="1221"/>
      <c r="Q4" s="1221"/>
    </row>
    <row r="5" spans="1:19" x14ac:dyDescent="0.2">
      <c r="A5" s="164">
        <v>1</v>
      </c>
      <c r="B5" s="164">
        <v>2</v>
      </c>
      <c r="C5" s="164">
        <v>3</v>
      </c>
      <c r="D5" s="164">
        <v>4</v>
      </c>
      <c r="E5" s="164">
        <v>5</v>
      </c>
      <c r="F5" s="164">
        <v>6</v>
      </c>
      <c r="G5" s="164">
        <v>7</v>
      </c>
      <c r="H5" s="164">
        <v>8</v>
      </c>
      <c r="I5" s="164">
        <v>9</v>
      </c>
      <c r="J5" s="164">
        <v>10</v>
      </c>
      <c r="K5" s="164">
        <v>11</v>
      </c>
      <c r="L5" s="164">
        <v>12</v>
      </c>
      <c r="M5" s="164">
        <v>13</v>
      </c>
      <c r="N5" s="164">
        <v>15</v>
      </c>
      <c r="O5" s="741">
        <v>16</v>
      </c>
      <c r="P5" s="164">
        <v>17</v>
      </c>
      <c r="Q5" s="164">
        <v>18</v>
      </c>
    </row>
    <row r="6" spans="1:19" ht="57.6" hidden="1" customHeight="1" outlineLevel="1" thickBot="1" x14ac:dyDescent="0.25">
      <c r="A6" s="173" t="str">
        <f>Численность!B4</f>
        <v>Реализация основных общеобразовательных программ дошкольного образования От 1 года до 3 лет Очная группа полного дня</v>
      </c>
      <c r="B6" s="471" t="s">
        <v>343</v>
      </c>
      <c r="C6" s="175"/>
      <c r="D6" s="175"/>
      <c r="E6" s="175"/>
      <c r="F6" s="176">
        <f>'Общий 2021'!F7</f>
        <v>8588.2200000000012</v>
      </c>
      <c r="G6" s="176">
        <f>'Общий 2021'!G7</f>
        <v>490.65999999999997</v>
      </c>
      <c r="H6" s="176">
        <f>'Общий 2021'!H7</f>
        <v>158.88</v>
      </c>
      <c r="I6" s="176">
        <f>'Общий 2021'!I7</f>
        <v>393.6</v>
      </c>
      <c r="J6" s="176">
        <f>'Общий 2021'!J7</f>
        <v>0</v>
      </c>
      <c r="K6" s="176">
        <f>'Общий 2021'!K7</f>
        <v>0</v>
      </c>
      <c r="L6" s="176">
        <f>'Общий 2021'!L7</f>
        <v>613.29</v>
      </c>
      <c r="M6" s="175"/>
      <c r="N6" s="175"/>
      <c r="O6" s="765">
        <f>SUM(O7:O15)</f>
        <v>768</v>
      </c>
      <c r="P6" s="175"/>
      <c r="Q6" s="176">
        <f>SUM(Q7:Q15)</f>
        <v>8354100</v>
      </c>
      <c r="S6" s="787">
        <f>SUM(F6:L6)-'Общий 2021'!M7</f>
        <v>0</v>
      </c>
    </row>
    <row r="7" spans="1:19" ht="12.95" hidden="1" customHeight="1" outlineLevel="2" x14ac:dyDescent="0.2">
      <c r="A7" s="156" t="str">
        <f>'Родительская плата '!A6</f>
        <v>МАДОУ ЦРР-детский сад № 2</v>
      </c>
      <c r="B7" s="172"/>
      <c r="C7" s="164"/>
      <c r="D7" s="164"/>
      <c r="E7" s="164"/>
      <c r="F7" s="155">
        <f>$F$6</f>
        <v>8588.2200000000012</v>
      </c>
      <c r="G7" s="155">
        <f>$G$6</f>
        <v>490.65999999999997</v>
      </c>
      <c r="H7" s="155">
        <f>$H$6</f>
        <v>158.88</v>
      </c>
      <c r="I7" s="155">
        <f>$I$6</f>
        <v>393.6</v>
      </c>
      <c r="J7" s="155"/>
      <c r="K7" s="155"/>
      <c r="L7" s="155">
        <f>$L$6</f>
        <v>613.29</v>
      </c>
      <c r="M7" s="180">
        <f>Коэффициенты!H5</f>
        <v>1</v>
      </c>
      <c r="N7" s="180">
        <f>Коэффициенты!N5</f>
        <v>1.0249999999999999</v>
      </c>
      <c r="O7" s="766">
        <v>81</v>
      </c>
      <c r="P7" s="155"/>
      <c r="Q7" s="155">
        <f>ROUND(ROUND((C7+D7+E7+F7+G7+H7+I7+J7+K7+L7)*M7*N7,2)*O7-P7,-2)</f>
        <v>850600</v>
      </c>
      <c r="R7" s="189">
        <f>(B7+C7+D7+E7+F7+G7+H7+I7+J7+K7+L7)*M7*N7</f>
        <v>10500.766250000001</v>
      </c>
    </row>
    <row r="8" spans="1:19" ht="12.95" hidden="1" customHeight="1" outlineLevel="2" x14ac:dyDescent="0.2">
      <c r="A8" s="156" t="str">
        <f>'Родительская плата '!A7</f>
        <v>МАДОУ ЦРР-детский сад № 11</v>
      </c>
      <c r="B8" s="172"/>
      <c r="C8" s="164"/>
      <c r="D8" s="164"/>
      <c r="E8" s="164"/>
      <c r="F8" s="155">
        <f t="shared" ref="F8:F15" si="0">$F$6</f>
        <v>8588.2200000000012</v>
      </c>
      <c r="G8" s="155">
        <f t="shared" ref="G8:G15" si="1">$G$6</f>
        <v>490.65999999999997</v>
      </c>
      <c r="H8" s="155">
        <f t="shared" ref="H8:H15" si="2">$H$6</f>
        <v>158.88</v>
      </c>
      <c r="I8" s="155">
        <f t="shared" ref="I8:I15" si="3">$I$6</f>
        <v>393.6</v>
      </c>
      <c r="J8" s="155"/>
      <c r="K8" s="155"/>
      <c r="L8" s="155">
        <f t="shared" ref="L8:L15" si="4">$L$6</f>
        <v>613.29</v>
      </c>
      <c r="M8" s="180">
        <f>Коэффициенты!H6</f>
        <v>1</v>
      </c>
      <c r="N8" s="180">
        <f>Коэффициенты!N6</f>
        <v>0.93799999999999994</v>
      </c>
      <c r="O8" s="766">
        <v>145</v>
      </c>
      <c r="P8" s="155"/>
      <c r="Q8" s="155">
        <f>ROUND(ROUND((C8+D8+E8+F8+G8+H8+I8+J8+K8+L8)*M8*N8,2)*O8-P8,-2)-600</f>
        <v>1392800</v>
      </c>
      <c r="R8" s="189">
        <f t="shared" ref="R8:R15" si="5">(B8+C8+D8+E8+F8+G8+H8+I8+J8+K8+L8)*M8*N8</f>
        <v>9609.4817000000003</v>
      </c>
    </row>
    <row r="9" spans="1:19" ht="12.95" hidden="1" customHeight="1" outlineLevel="2" x14ac:dyDescent="0.2">
      <c r="A9" s="156" t="str">
        <f>'Родительская плата '!A8</f>
        <v>МАДОУ ЦРР-детский сад № 13</v>
      </c>
      <c r="B9" s="172"/>
      <c r="C9" s="164"/>
      <c r="D9" s="164"/>
      <c r="E9" s="164"/>
      <c r="F9" s="155">
        <f t="shared" si="0"/>
        <v>8588.2200000000012</v>
      </c>
      <c r="G9" s="155">
        <f t="shared" si="1"/>
        <v>490.65999999999997</v>
      </c>
      <c r="H9" s="155">
        <f t="shared" si="2"/>
        <v>158.88</v>
      </c>
      <c r="I9" s="155">
        <f t="shared" si="3"/>
        <v>393.6</v>
      </c>
      <c r="J9" s="155"/>
      <c r="K9" s="155"/>
      <c r="L9" s="155">
        <f t="shared" si="4"/>
        <v>613.29</v>
      </c>
      <c r="M9" s="180">
        <f>Коэффициенты!H7</f>
        <v>1</v>
      </c>
      <c r="N9" s="180">
        <f>Коэффициенты!N7</f>
        <v>0.96399999999999997</v>
      </c>
      <c r="O9" s="766">
        <v>217</v>
      </c>
      <c r="P9" s="155"/>
      <c r="Q9" s="155">
        <f t="shared" ref="Q9:Q15" si="6">ROUND(ROUND((C9+D9+E9+F9+G9+H9+I9+J9+K9+L9)*M9*N9,2)*O9-P9,-2)</f>
        <v>2143100</v>
      </c>
      <c r="R9" s="189">
        <f t="shared" si="5"/>
        <v>9875.8426000000018</v>
      </c>
    </row>
    <row r="10" spans="1:19" ht="33.6" hidden="1" customHeight="1" outlineLevel="2" x14ac:dyDescent="0.2">
      <c r="A10" s="156" t="str">
        <f>'Родительская плата '!A9</f>
        <v>МАОУ СОШ № 1 структурное подразделение</v>
      </c>
      <c r="B10" s="172"/>
      <c r="C10" s="164"/>
      <c r="D10" s="164"/>
      <c r="E10" s="164"/>
      <c r="F10" s="155">
        <f>$F$6</f>
        <v>8588.2200000000012</v>
      </c>
      <c r="G10" s="155">
        <f t="shared" si="1"/>
        <v>490.65999999999997</v>
      </c>
      <c r="H10" s="155">
        <f t="shared" si="2"/>
        <v>158.88</v>
      </c>
      <c r="I10" s="155">
        <f t="shared" si="3"/>
        <v>393.6</v>
      </c>
      <c r="J10" s="155"/>
      <c r="K10" s="155"/>
      <c r="L10" s="155">
        <f t="shared" si="4"/>
        <v>613.29</v>
      </c>
      <c r="M10" s="180">
        <f>Коэффициенты!H8</f>
        <v>1</v>
      </c>
      <c r="N10" s="180">
        <f>Коэффициенты!N8</f>
        <v>0.88800000000000001</v>
      </c>
      <c r="O10" s="766">
        <v>54</v>
      </c>
      <c r="P10" s="155"/>
      <c r="Q10" s="155">
        <f t="shared" si="6"/>
        <v>491300</v>
      </c>
      <c r="R10" s="189">
        <f t="shared" si="5"/>
        <v>9097.249200000002</v>
      </c>
    </row>
    <row r="11" spans="1:19" ht="47.45" hidden="1" customHeight="1" outlineLevel="2" x14ac:dyDescent="0.2">
      <c r="A11" s="156" t="str">
        <f>'Родительская плата '!A10</f>
        <v>МАОУ СОШ № 2 им.М.И.Грибушина структурное подразделение</v>
      </c>
      <c r="B11" s="172"/>
      <c r="C11" s="164"/>
      <c r="D11" s="164"/>
      <c r="E11" s="164"/>
      <c r="F11" s="155">
        <f t="shared" si="0"/>
        <v>8588.2200000000012</v>
      </c>
      <c r="G11" s="155">
        <f t="shared" si="1"/>
        <v>490.65999999999997</v>
      </c>
      <c r="H11" s="155">
        <f t="shared" si="2"/>
        <v>158.88</v>
      </c>
      <c r="I11" s="155">
        <f t="shared" si="3"/>
        <v>393.6</v>
      </c>
      <c r="J11" s="155"/>
      <c r="K11" s="155"/>
      <c r="L11" s="155">
        <f t="shared" si="4"/>
        <v>613.29</v>
      </c>
      <c r="M11" s="180">
        <f>Коэффициенты!H9</f>
        <v>1</v>
      </c>
      <c r="N11" s="180">
        <f>Коэффициенты!N9</f>
        <v>1.012</v>
      </c>
      <c r="O11" s="766">
        <v>82</v>
      </c>
      <c r="P11" s="155"/>
      <c r="Q11" s="155">
        <f t="shared" si="6"/>
        <v>850100</v>
      </c>
      <c r="R11" s="189">
        <f t="shared" si="5"/>
        <v>10367.585800000001</v>
      </c>
    </row>
    <row r="12" spans="1:19" ht="32.450000000000003" hidden="1" customHeight="1" outlineLevel="2" x14ac:dyDescent="0.2">
      <c r="A12" s="156" t="str">
        <f>'Родительская плата '!A11</f>
        <v>МАОУ СОШ № 10 структурное подразделение</v>
      </c>
      <c r="B12" s="172"/>
      <c r="C12" s="164"/>
      <c r="D12" s="164"/>
      <c r="E12" s="164"/>
      <c r="F12" s="155">
        <f t="shared" si="0"/>
        <v>8588.2200000000012</v>
      </c>
      <c r="G12" s="155">
        <f t="shared" si="1"/>
        <v>490.65999999999997</v>
      </c>
      <c r="H12" s="155">
        <f t="shared" si="2"/>
        <v>158.88</v>
      </c>
      <c r="I12" s="155">
        <f t="shared" si="3"/>
        <v>393.6</v>
      </c>
      <c r="J12" s="155"/>
      <c r="K12" s="155"/>
      <c r="L12" s="155">
        <f t="shared" si="4"/>
        <v>613.29</v>
      </c>
      <c r="M12" s="180">
        <f>Коэффициенты!H10</f>
        <v>1</v>
      </c>
      <c r="N12" s="180">
        <f>Коэффициенты!N10</f>
        <v>0.82899999999999996</v>
      </c>
      <c r="O12" s="766">
        <v>32</v>
      </c>
      <c r="P12" s="155"/>
      <c r="Q12" s="155">
        <f t="shared" si="6"/>
        <v>271800</v>
      </c>
      <c r="R12" s="189">
        <f t="shared" si="5"/>
        <v>8492.8148500000007</v>
      </c>
    </row>
    <row r="13" spans="1:19" ht="37.9" hidden="1" customHeight="1" outlineLevel="2" x14ac:dyDescent="0.2">
      <c r="A13" s="156" t="str">
        <f>'Родительская плата '!A12</f>
        <v>МАОУ СОШ № 13 структурное подразделение</v>
      </c>
      <c r="B13" s="172"/>
      <c r="C13" s="164"/>
      <c r="D13" s="164"/>
      <c r="E13" s="164"/>
      <c r="F13" s="155">
        <f t="shared" si="0"/>
        <v>8588.2200000000012</v>
      </c>
      <c r="G13" s="155">
        <f t="shared" si="1"/>
        <v>490.65999999999997</v>
      </c>
      <c r="H13" s="155">
        <f t="shared" si="2"/>
        <v>158.88</v>
      </c>
      <c r="I13" s="155">
        <f t="shared" si="3"/>
        <v>393.6</v>
      </c>
      <c r="J13" s="155"/>
      <c r="K13" s="155"/>
      <c r="L13" s="155">
        <f t="shared" si="4"/>
        <v>613.29</v>
      </c>
      <c r="M13" s="180">
        <f>Коэффициенты!H11</f>
        <v>1</v>
      </c>
      <c r="N13" s="180">
        <f>Коэффициенты!N11</f>
        <v>1.284</v>
      </c>
      <c r="O13" s="766">
        <v>49</v>
      </c>
      <c r="P13" s="155"/>
      <c r="Q13" s="155">
        <f t="shared" si="6"/>
        <v>644600</v>
      </c>
      <c r="R13" s="189">
        <f t="shared" si="5"/>
        <v>13154.130600000002</v>
      </c>
    </row>
    <row r="14" spans="1:19" ht="32.450000000000003" hidden="1" customHeight="1" outlineLevel="2" x14ac:dyDescent="0.2">
      <c r="A14" s="156" t="str">
        <f>'Родительская плата '!A13</f>
        <v>Гимназия № 16 структурное подразделение</v>
      </c>
      <c r="B14" s="172"/>
      <c r="C14" s="164"/>
      <c r="D14" s="164"/>
      <c r="E14" s="164"/>
      <c r="F14" s="155">
        <f t="shared" si="0"/>
        <v>8588.2200000000012</v>
      </c>
      <c r="G14" s="155">
        <f t="shared" si="1"/>
        <v>490.65999999999997</v>
      </c>
      <c r="H14" s="155">
        <f t="shared" si="2"/>
        <v>158.88</v>
      </c>
      <c r="I14" s="155">
        <f t="shared" si="3"/>
        <v>393.6</v>
      </c>
      <c r="J14" s="155"/>
      <c r="K14" s="155"/>
      <c r="L14" s="155">
        <f t="shared" si="4"/>
        <v>613.29</v>
      </c>
      <c r="M14" s="180">
        <f>Коэффициенты!H12</f>
        <v>1</v>
      </c>
      <c r="N14" s="180">
        <f>Коэффициенты!N12</f>
        <v>1.2290000000000001</v>
      </c>
      <c r="O14" s="766">
        <v>82</v>
      </c>
      <c r="P14" s="155"/>
      <c r="Q14" s="155">
        <f t="shared" si="6"/>
        <v>1032400</v>
      </c>
      <c r="R14" s="189">
        <f t="shared" si="5"/>
        <v>12590.674850000003</v>
      </c>
    </row>
    <row r="15" spans="1:19" ht="39" hidden="1" customHeight="1" outlineLevel="2" thickBot="1" x14ac:dyDescent="0.25">
      <c r="A15" s="156" t="str">
        <f>'Родительская плата '!A14</f>
        <v>МАОУ ООШ № 17 с кадетскими классами структурное подразделение</v>
      </c>
      <c r="B15" s="172"/>
      <c r="C15" s="292"/>
      <c r="D15" s="292"/>
      <c r="E15" s="292"/>
      <c r="F15" s="155">
        <f t="shared" si="0"/>
        <v>8588.2200000000012</v>
      </c>
      <c r="G15" s="155">
        <f t="shared" si="1"/>
        <v>490.65999999999997</v>
      </c>
      <c r="H15" s="155">
        <f t="shared" si="2"/>
        <v>158.88</v>
      </c>
      <c r="I15" s="155">
        <f t="shared" si="3"/>
        <v>393.6</v>
      </c>
      <c r="J15" s="155"/>
      <c r="K15" s="155"/>
      <c r="L15" s="155">
        <f t="shared" si="4"/>
        <v>613.29</v>
      </c>
      <c r="M15" s="180">
        <f>Коэффициенты!H13</f>
        <v>1</v>
      </c>
      <c r="N15" s="180">
        <f>Коэффициенты!N13</f>
        <v>2.5430000000000001</v>
      </c>
      <c r="O15" s="766">
        <v>26</v>
      </c>
      <c r="P15" s="155"/>
      <c r="Q15" s="155">
        <f t="shared" si="6"/>
        <v>677400</v>
      </c>
      <c r="R15" s="189">
        <f t="shared" si="5"/>
        <v>26052.144950000005</v>
      </c>
    </row>
    <row r="16" spans="1:19" ht="56.25" hidden="1" customHeight="1" outlineLevel="1" collapsed="1" thickBot="1" x14ac:dyDescent="0.25">
      <c r="A16" s="177" t="str">
        <f>Численность!C4</f>
        <v>Реализация основных общеобразовательных программ дошкольного образования От 3 лет до 8 лет Очная группа полного дня</v>
      </c>
      <c r="B16" s="471" t="s">
        <v>344</v>
      </c>
      <c r="C16" s="175"/>
      <c r="D16" s="175"/>
      <c r="E16" s="175"/>
      <c r="F16" s="176">
        <f>'Общий 2021'!F8</f>
        <v>8588.2200000000012</v>
      </c>
      <c r="G16" s="176">
        <f>'Общий 2021'!G8</f>
        <v>490.65999999999997</v>
      </c>
      <c r="H16" s="176">
        <f>'Общий 2021'!H8</f>
        <v>158.88</v>
      </c>
      <c r="I16" s="176">
        <f>'Общий 2021'!I8</f>
        <v>393.6</v>
      </c>
      <c r="J16" s="176">
        <f>'Общий 2021'!J8</f>
        <v>0</v>
      </c>
      <c r="K16" s="176">
        <f>'Общий 2021'!K8</f>
        <v>0</v>
      </c>
      <c r="L16" s="176">
        <f>'Общий 2021'!L8</f>
        <v>521.6</v>
      </c>
      <c r="M16" s="181"/>
      <c r="N16" s="181"/>
      <c r="O16" s="765">
        <f>SUM(O17:O25)</f>
        <v>2847</v>
      </c>
      <c r="P16" s="175"/>
      <c r="Q16" s="176">
        <f>SUM(Q17:Q25)</f>
        <v>30613300</v>
      </c>
      <c r="S16" s="787">
        <f>SUM(F16:L16)-'Общий 2021'!M8</f>
        <v>0</v>
      </c>
    </row>
    <row r="17" spans="1:19" s="92" customFormat="1" ht="12.95" hidden="1" customHeight="1" outlineLevel="2" x14ac:dyDescent="0.2">
      <c r="A17" s="90" t="str">
        <f t="shared" ref="A17:A25" si="7">A7</f>
        <v>МАДОУ ЦРР-детский сад № 2</v>
      </c>
      <c r="B17" s="178"/>
      <c r="C17" s="178"/>
      <c r="D17" s="178"/>
      <c r="E17" s="178"/>
      <c r="F17" s="155">
        <f>$F$16</f>
        <v>8588.2200000000012</v>
      </c>
      <c r="G17" s="155">
        <f>$G$16</f>
        <v>490.65999999999997</v>
      </c>
      <c r="H17" s="155">
        <f>$H$16</f>
        <v>158.88</v>
      </c>
      <c r="I17" s="155">
        <f>$I$16</f>
        <v>393.6</v>
      </c>
      <c r="J17" s="155"/>
      <c r="K17" s="155"/>
      <c r="L17" s="155">
        <f>$L$16</f>
        <v>521.6</v>
      </c>
      <c r="M17" s="182">
        <f>Коэффициенты!I5</f>
        <v>1</v>
      </c>
      <c r="N17" s="182">
        <f t="shared" ref="N17:N25" si="8">N7</f>
        <v>1.0249999999999999</v>
      </c>
      <c r="O17" s="767">
        <v>445</v>
      </c>
      <c r="P17" s="179"/>
      <c r="Q17" s="155">
        <f>ROUND(ROUND((C17+D17+E17+F17+G17+H17+I17+J17+K17+L17)*M17*N17,2)*O17-P17,-2)</f>
        <v>4631000</v>
      </c>
      <c r="R17" s="189">
        <f>(B17+C17+D17+E17+F17+G17+H17+I17+J17+K17+L17)*M17*N17</f>
        <v>10406.784</v>
      </c>
    </row>
    <row r="18" spans="1:19" s="92" customFormat="1" ht="12.95" hidden="1" customHeight="1" outlineLevel="2" x14ac:dyDescent="0.2">
      <c r="A18" s="90" t="str">
        <f t="shared" si="7"/>
        <v>МАДОУ ЦРР-детский сад № 11</v>
      </c>
      <c r="B18" s="178"/>
      <c r="C18" s="178"/>
      <c r="D18" s="178"/>
      <c r="E18" s="178"/>
      <c r="F18" s="155">
        <f t="shared" ref="F18:F25" si="9">$F$16</f>
        <v>8588.2200000000012</v>
      </c>
      <c r="G18" s="155">
        <f t="shared" ref="G18:G25" si="10">$G$16</f>
        <v>490.65999999999997</v>
      </c>
      <c r="H18" s="155">
        <f t="shared" ref="H18:H25" si="11">$H$16</f>
        <v>158.88</v>
      </c>
      <c r="I18" s="155">
        <f t="shared" ref="I18:I25" si="12">$I$16</f>
        <v>393.6</v>
      </c>
      <c r="J18" s="155"/>
      <c r="K18" s="155"/>
      <c r="L18" s="155">
        <f t="shared" ref="L18:L25" si="13">$L$16</f>
        <v>521.6</v>
      </c>
      <c r="M18" s="182">
        <f>Коэффициенты!I6</f>
        <v>1</v>
      </c>
      <c r="N18" s="182">
        <f t="shared" si="8"/>
        <v>0.93799999999999994</v>
      </c>
      <c r="O18" s="767">
        <v>423</v>
      </c>
      <c r="P18" s="179"/>
      <c r="Q18" s="155">
        <f t="shared" ref="Q18:Q25" si="14">ROUND(ROUND((C18+D18+E18+F18+G18+H18+I18+J18+K18+L18)*M18*N18,2)*O18-P18,-2)</f>
        <v>4028400</v>
      </c>
      <c r="R18" s="189">
        <f t="shared" ref="R18:R44" si="15">(B18+C18+D18+E18+F18+G18+H18+I18+J18+K18+L18)*M18*N18</f>
        <v>9523.4764800000012</v>
      </c>
    </row>
    <row r="19" spans="1:19" s="92" customFormat="1" ht="12.95" hidden="1" customHeight="1" outlineLevel="2" x14ac:dyDescent="0.2">
      <c r="A19" s="90" t="str">
        <f t="shared" si="7"/>
        <v>МАДОУ ЦРР-детский сад № 13</v>
      </c>
      <c r="B19" s="178"/>
      <c r="C19" s="178"/>
      <c r="D19" s="178"/>
      <c r="E19" s="178"/>
      <c r="F19" s="155">
        <f t="shared" si="9"/>
        <v>8588.2200000000012</v>
      </c>
      <c r="G19" s="155">
        <f t="shared" si="10"/>
        <v>490.65999999999997</v>
      </c>
      <c r="H19" s="155">
        <f t="shared" si="11"/>
        <v>158.88</v>
      </c>
      <c r="I19" s="155">
        <f t="shared" si="12"/>
        <v>393.6</v>
      </c>
      <c r="J19" s="155"/>
      <c r="K19" s="155"/>
      <c r="L19" s="155">
        <f t="shared" si="13"/>
        <v>521.6</v>
      </c>
      <c r="M19" s="182">
        <f>Коэффициенты!I7</f>
        <v>1</v>
      </c>
      <c r="N19" s="182">
        <f t="shared" si="8"/>
        <v>0.96399999999999997</v>
      </c>
      <c r="O19" s="767">
        <v>509</v>
      </c>
      <c r="P19" s="179"/>
      <c r="Q19" s="155">
        <f t="shared" si="14"/>
        <v>4981800</v>
      </c>
      <c r="R19" s="189">
        <f t="shared" si="15"/>
        <v>9787.4534400000011</v>
      </c>
    </row>
    <row r="20" spans="1:19" s="92" customFormat="1" ht="31.9" hidden="1" customHeight="1" outlineLevel="2" x14ac:dyDescent="0.2">
      <c r="A20" s="90" t="str">
        <f t="shared" si="7"/>
        <v>МАОУ СОШ № 1 структурное подразделение</v>
      </c>
      <c r="B20" s="178"/>
      <c r="C20" s="178"/>
      <c r="D20" s="178"/>
      <c r="E20" s="178"/>
      <c r="F20" s="155">
        <f t="shared" si="9"/>
        <v>8588.2200000000012</v>
      </c>
      <c r="G20" s="155">
        <f t="shared" si="10"/>
        <v>490.65999999999997</v>
      </c>
      <c r="H20" s="155">
        <f t="shared" si="11"/>
        <v>158.88</v>
      </c>
      <c r="I20" s="155">
        <f t="shared" si="12"/>
        <v>393.6</v>
      </c>
      <c r="J20" s="155"/>
      <c r="K20" s="155"/>
      <c r="L20" s="155">
        <f t="shared" si="13"/>
        <v>521.6</v>
      </c>
      <c r="M20" s="182">
        <f>Коэффициенты!I8</f>
        <v>1</v>
      </c>
      <c r="N20" s="182">
        <f t="shared" si="8"/>
        <v>0.88800000000000001</v>
      </c>
      <c r="O20" s="767">
        <v>377</v>
      </c>
      <c r="P20" s="179"/>
      <c r="Q20" s="155">
        <f t="shared" si="14"/>
        <v>3399000</v>
      </c>
      <c r="R20" s="189">
        <f t="shared" si="15"/>
        <v>9015.8284800000001</v>
      </c>
    </row>
    <row r="21" spans="1:19" s="92" customFormat="1" ht="48" hidden="1" customHeight="1" outlineLevel="2" x14ac:dyDescent="0.2">
      <c r="A21" s="90" t="str">
        <f t="shared" si="7"/>
        <v>МАОУ СОШ № 2 им.М.И.Грибушина структурное подразделение</v>
      </c>
      <c r="B21" s="178"/>
      <c r="C21" s="178"/>
      <c r="D21" s="178"/>
      <c r="E21" s="178"/>
      <c r="F21" s="155">
        <f t="shared" si="9"/>
        <v>8588.2200000000012</v>
      </c>
      <c r="G21" s="155">
        <f t="shared" si="10"/>
        <v>490.65999999999997</v>
      </c>
      <c r="H21" s="155">
        <f t="shared" si="11"/>
        <v>158.88</v>
      </c>
      <c r="I21" s="155">
        <f t="shared" si="12"/>
        <v>393.6</v>
      </c>
      <c r="J21" s="155"/>
      <c r="K21" s="155"/>
      <c r="L21" s="155">
        <f t="shared" si="13"/>
        <v>521.6</v>
      </c>
      <c r="M21" s="182">
        <f>Коэффициенты!I9</f>
        <v>1</v>
      </c>
      <c r="N21" s="182">
        <f t="shared" si="8"/>
        <v>1.012</v>
      </c>
      <c r="O21" s="767">
        <v>235</v>
      </c>
      <c r="P21" s="179"/>
      <c r="Q21" s="155">
        <f t="shared" si="14"/>
        <v>2414600</v>
      </c>
      <c r="R21" s="189">
        <f t="shared" si="15"/>
        <v>10274.795520000001</v>
      </c>
    </row>
    <row r="22" spans="1:19" s="92" customFormat="1" ht="33.6" hidden="1" customHeight="1" outlineLevel="2" x14ac:dyDescent="0.2">
      <c r="A22" s="90" t="str">
        <f t="shared" si="7"/>
        <v>МАОУ СОШ № 10 структурное подразделение</v>
      </c>
      <c r="B22" s="178"/>
      <c r="C22" s="178"/>
      <c r="D22" s="178"/>
      <c r="E22" s="178"/>
      <c r="F22" s="155">
        <f t="shared" si="9"/>
        <v>8588.2200000000012</v>
      </c>
      <c r="G22" s="155">
        <f t="shared" si="10"/>
        <v>490.65999999999997</v>
      </c>
      <c r="H22" s="155">
        <f t="shared" si="11"/>
        <v>158.88</v>
      </c>
      <c r="I22" s="155">
        <f t="shared" si="12"/>
        <v>393.6</v>
      </c>
      <c r="J22" s="155"/>
      <c r="K22" s="155"/>
      <c r="L22" s="155">
        <f t="shared" si="13"/>
        <v>521.6</v>
      </c>
      <c r="M22" s="182">
        <f>Коэффициенты!I10</f>
        <v>1</v>
      </c>
      <c r="N22" s="182">
        <f t="shared" si="8"/>
        <v>0.82899999999999996</v>
      </c>
      <c r="O22" s="767">
        <v>225</v>
      </c>
      <c r="P22" s="179"/>
      <c r="Q22" s="155">
        <f t="shared" si="14"/>
        <v>1893800</v>
      </c>
      <c r="R22" s="189">
        <f t="shared" si="15"/>
        <v>8416.8038400000005</v>
      </c>
    </row>
    <row r="23" spans="1:19" s="92" customFormat="1" ht="33.6" hidden="1" customHeight="1" outlineLevel="2" x14ac:dyDescent="0.2">
      <c r="A23" s="90" t="str">
        <f t="shared" si="7"/>
        <v>МАОУ СОШ № 13 структурное подразделение</v>
      </c>
      <c r="B23" s="178"/>
      <c r="C23" s="178"/>
      <c r="D23" s="178"/>
      <c r="E23" s="178"/>
      <c r="F23" s="155">
        <f t="shared" si="9"/>
        <v>8588.2200000000012</v>
      </c>
      <c r="G23" s="155">
        <f t="shared" si="10"/>
        <v>490.65999999999997</v>
      </c>
      <c r="H23" s="155">
        <f t="shared" si="11"/>
        <v>158.88</v>
      </c>
      <c r="I23" s="155">
        <f t="shared" si="12"/>
        <v>393.6</v>
      </c>
      <c r="J23" s="155"/>
      <c r="K23" s="155"/>
      <c r="L23" s="155">
        <f t="shared" si="13"/>
        <v>521.6</v>
      </c>
      <c r="M23" s="182">
        <f>Коэффициенты!I11</f>
        <v>1</v>
      </c>
      <c r="N23" s="182">
        <f t="shared" si="8"/>
        <v>1.284</v>
      </c>
      <c r="O23" s="767">
        <v>153</v>
      </c>
      <c r="P23" s="179"/>
      <c r="Q23" s="155">
        <f t="shared" si="14"/>
        <v>1994600</v>
      </c>
      <c r="R23" s="189">
        <f t="shared" si="15"/>
        <v>13036.400640000002</v>
      </c>
    </row>
    <row r="24" spans="1:19" s="92" customFormat="1" ht="33" hidden="1" customHeight="1" outlineLevel="2" x14ac:dyDescent="0.2">
      <c r="A24" s="90" t="str">
        <f t="shared" si="7"/>
        <v>Гимназия № 16 структурное подразделение</v>
      </c>
      <c r="B24" s="178"/>
      <c r="C24" s="178"/>
      <c r="D24" s="178"/>
      <c r="E24" s="178"/>
      <c r="F24" s="155">
        <f t="shared" si="9"/>
        <v>8588.2200000000012</v>
      </c>
      <c r="G24" s="155">
        <f t="shared" si="10"/>
        <v>490.65999999999997</v>
      </c>
      <c r="H24" s="155">
        <f t="shared" si="11"/>
        <v>158.88</v>
      </c>
      <c r="I24" s="155">
        <f t="shared" si="12"/>
        <v>393.6</v>
      </c>
      <c r="J24" s="155"/>
      <c r="K24" s="155"/>
      <c r="L24" s="155">
        <f t="shared" si="13"/>
        <v>521.6</v>
      </c>
      <c r="M24" s="182">
        <f>Коэффициенты!I12</f>
        <v>1</v>
      </c>
      <c r="N24" s="182">
        <f t="shared" si="8"/>
        <v>1.2290000000000001</v>
      </c>
      <c r="O24" s="767">
        <v>384</v>
      </c>
      <c r="P24" s="179"/>
      <c r="Q24" s="155">
        <f t="shared" si="14"/>
        <v>4791500</v>
      </c>
      <c r="R24" s="189">
        <f t="shared" si="15"/>
        <v>12477.987840000002</v>
      </c>
    </row>
    <row r="25" spans="1:19" s="92" customFormat="1" ht="45.6" hidden="1" customHeight="1" outlineLevel="2" thickBot="1" x14ac:dyDescent="0.25">
      <c r="A25" s="90" t="str">
        <f t="shared" si="7"/>
        <v>МАОУ ООШ № 17 с кадетскими классами структурное подразделение</v>
      </c>
      <c r="B25" s="178"/>
      <c r="C25" s="178"/>
      <c r="D25" s="178"/>
      <c r="E25" s="178"/>
      <c r="F25" s="155">
        <f t="shared" si="9"/>
        <v>8588.2200000000012</v>
      </c>
      <c r="G25" s="155">
        <f t="shared" si="10"/>
        <v>490.65999999999997</v>
      </c>
      <c r="H25" s="155">
        <f t="shared" si="11"/>
        <v>158.88</v>
      </c>
      <c r="I25" s="155">
        <f t="shared" si="12"/>
        <v>393.6</v>
      </c>
      <c r="J25" s="155"/>
      <c r="K25" s="155"/>
      <c r="L25" s="155">
        <f t="shared" si="13"/>
        <v>521.6</v>
      </c>
      <c r="M25" s="182">
        <f>Коэффициенты!I13</f>
        <v>1</v>
      </c>
      <c r="N25" s="182">
        <f t="shared" si="8"/>
        <v>2.5430000000000001</v>
      </c>
      <c r="O25" s="767">
        <v>96</v>
      </c>
      <c r="P25" s="179"/>
      <c r="Q25" s="155">
        <f t="shared" si="14"/>
        <v>2478600</v>
      </c>
      <c r="R25" s="189">
        <f t="shared" si="15"/>
        <v>25818.977280000003</v>
      </c>
    </row>
    <row r="26" spans="1:19" s="92" customFormat="1" ht="92.25" hidden="1" customHeight="1" outlineLevel="1" collapsed="1" thickBot="1" x14ac:dyDescent="0.25">
      <c r="A26" s="177" t="str">
        <f>Численность!G4</f>
        <v>Реализация основных общеобразовательных программ дошкольного образования Обучающиеся с ограниченными возможностями здоровья (ОВЗ) От 1 года до 3 лет Очная группа полного дня</v>
      </c>
      <c r="B26" s="471" t="s">
        <v>377</v>
      </c>
      <c r="C26" s="175"/>
      <c r="D26" s="175"/>
      <c r="E26" s="175"/>
      <c r="F26" s="176">
        <f>'Общий 2021'!F9</f>
        <v>8588.2200000000012</v>
      </c>
      <c r="G26" s="176">
        <f>'Общий 2021'!G9</f>
        <v>490.65999999999997</v>
      </c>
      <c r="H26" s="176">
        <f>'Общий 2021'!H9</f>
        <v>158.88</v>
      </c>
      <c r="I26" s="176">
        <f>'Общий 2021'!I9</f>
        <v>393.6</v>
      </c>
      <c r="J26" s="176">
        <f>'Общий 2021'!J9</f>
        <v>0</v>
      </c>
      <c r="K26" s="176">
        <f>'Общий 2021'!K9</f>
        <v>0</v>
      </c>
      <c r="L26" s="176">
        <f>'Общий 2021'!L9</f>
        <v>613.29</v>
      </c>
      <c r="M26" s="181"/>
      <c r="N26" s="181"/>
      <c r="O26" s="765">
        <f>SUM(O27:O35)</f>
        <v>2</v>
      </c>
      <c r="P26" s="176"/>
      <c r="Q26" s="176">
        <f>SUM(Q27:Q35)</f>
        <v>19000</v>
      </c>
      <c r="R26" s="804"/>
      <c r="S26" s="787">
        <f>SUM(F26:L26)-'Общий 2021'!M9</f>
        <v>0</v>
      </c>
    </row>
    <row r="27" spans="1:19" s="92" customFormat="1" ht="17.45" hidden="1" customHeight="1" outlineLevel="2" x14ac:dyDescent="0.2">
      <c r="A27" s="90" t="str">
        <f>A17</f>
        <v>МАДОУ ЦРР-детский сад № 2</v>
      </c>
      <c r="B27" s="178"/>
      <c r="C27" s="178"/>
      <c r="D27" s="178"/>
      <c r="E27" s="178"/>
      <c r="F27" s="155">
        <f>F26</f>
        <v>8588.2200000000012</v>
      </c>
      <c r="G27" s="155">
        <f t="shared" ref="G27:L27" si="16">G26</f>
        <v>490.65999999999997</v>
      </c>
      <c r="H27" s="155">
        <f t="shared" si="16"/>
        <v>158.88</v>
      </c>
      <c r="I27" s="155">
        <f t="shared" si="16"/>
        <v>393.6</v>
      </c>
      <c r="J27" s="155">
        <f t="shared" si="16"/>
        <v>0</v>
      </c>
      <c r="K27" s="155">
        <f t="shared" si="16"/>
        <v>0</v>
      </c>
      <c r="L27" s="155">
        <f t="shared" si="16"/>
        <v>613.29</v>
      </c>
      <c r="M27" s="182">
        <f>Коэффициенты!H5</f>
        <v>1</v>
      </c>
      <c r="N27" s="182">
        <f>N17</f>
        <v>1.0249999999999999</v>
      </c>
      <c r="O27" s="767">
        <v>0</v>
      </c>
      <c r="P27" s="179"/>
      <c r="Q27" s="155">
        <f>ROUND(ROUND((C27+D27+E27+F27+G27+H27+I27+J27+K27+L27)*M27*N27,2)*O27-P27,-2)</f>
        <v>0</v>
      </c>
      <c r="R27" s="189">
        <f>(B27+C27+D27+E27+F27+G27+H27+I27+J27+K27+L27)*M27*N27</f>
        <v>10500.766250000001</v>
      </c>
    </row>
    <row r="28" spans="1:19" s="92" customFormat="1" ht="15.6" hidden="1" customHeight="1" outlineLevel="2" x14ac:dyDescent="0.2">
      <c r="A28" s="90" t="str">
        <f t="shared" ref="A28:A35" si="17">A18</f>
        <v>МАДОУ ЦРР-детский сад № 11</v>
      </c>
      <c r="B28" s="178"/>
      <c r="C28" s="178"/>
      <c r="D28" s="178"/>
      <c r="E28" s="178"/>
      <c r="F28" s="155">
        <f t="shared" ref="F28:L35" si="18">F27</f>
        <v>8588.2200000000012</v>
      </c>
      <c r="G28" s="155">
        <f t="shared" si="18"/>
        <v>490.65999999999997</v>
      </c>
      <c r="H28" s="155">
        <f t="shared" si="18"/>
        <v>158.88</v>
      </c>
      <c r="I28" s="155">
        <f t="shared" si="18"/>
        <v>393.6</v>
      </c>
      <c r="J28" s="155">
        <f t="shared" si="18"/>
        <v>0</v>
      </c>
      <c r="K28" s="155">
        <f t="shared" si="18"/>
        <v>0</v>
      </c>
      <c r="L28" s="155">
        <f t="shared" si="18"/>
        <v>613.29</v>
      </c>
      <c r="M28" s="182">
        <f>Коэффициенты!H6</f>
        <v>1</v>
      </c>
      <c r="N28" s="182">
        <f t="shared" ref="N28:N35" si="19">N18</f>
        <v>0.93799999999999994</v>
      </c>
      <c r="O28" s="767">
        <v>0</v>
      </c>
      <c r="P28" s="179"/>
      <c r="Q28" s="155">
        <f t="shared" ref="Q28:Q35" si="20">ROUND(ROUND((C28+D28+E28+F28+G28+H28+I28+J28+K28+L28)*M28*N28,2)*O28-P28,-2)</f>
        <v>0</v>
      </c>
      <c r="R28" s="189">
        <f t="shared" ref="R28:R35" si="21">(B28+C28+D28+E28+F28+G28+H28+I28+J28+K28+L28)*M28*N28</f>
        <v>9609.4817000000003</v>
      </c>
    </row>
    <row r="29" spans="1:19" s="92" customFormat="1" ht="16.149999999999999" hidden="1" customHeight="1" outlineLevel="2" x14ac:dyDescent="0.2">
      <c r="A29" s="90" t="str">
        <f t="shared" si="17"/>
        <v>МАДОУ ЦРР-детский сад № 13</v>
      </c>
      <c r="B29" s="178"/>
      <c r="C29" s="178"/>
      <c r="D29" s="178"/>
      <c r="E29" s="178"/>
      <c r="F29" s="155">
        <f t="shared" si="18"/>
        <v>8588.2200000000012</v>
      </c>
      <c r="G29" s="155">
        <f t="shared" si="18"/>
        <v>490.65999999999997</v>
      </c>
      <c r="H29" s="155">
        <f t="shared" si="18"/>
        <v>158.88</v>
      </c>
      <c r="I29" s="155">
        <f t="shared" si="18"/>
        <v>393.6</v>
      </c>
      <c r="J29" s="155">
        <f t="shared" si="18"/>
        <v>0</v>
      </c>
      <c r="K29" s="155">
        <f t="shared" si="18"/>
        <v>0</v>
      </c>
      <c r="L29" s="155">
        <f t="shared" si="18"/>
        <v>613.29</v>
      </c>
      <c r="M29" s="182">
        <f>Коэффициенты!H7</f>
        <v>1</v>
      </c>
      <c r="N29" s="182">
        <f t="shared" si="19"/>
        <v>0.96399999999999997</v>
      </c>
      <c r="O29" s="767">
        <v>1</v>
      </c>
      <c r="P29" s="179"/>
      <c r="Q29" s="155">
        <f t="shared" si="20"/>
        <v>9900</v>
      </c>
      <c r="R29" s="189">
        <f t="shared" si="21"/>
        <v>9875.8426000000018</v>
      </c>
    </row>
    <row r="30" spans="1:19" s="92" customFormat="1" ht="30" hidden="1" customHeight="1" outlineLevel="2" x14ac:dyDescent="0.2">
      <c r="A30" s="90" t="str">
        <f t="shared" si="17"/>
        <v>МАОУ СОШ № 1 структурное подразделение</v>
      </c>
      <c r="B30" s="178"/>
      <c r="C30" s="178"/>
      <c r="D30" s="178"/>
      <c r="E30" s="178"/>
      <c r="F30" s="155">
        <f t="shared" si="18"/>
        <v>8588.2200000000012</v>
      </c>
      <c r="G30" s="155">
        <f t="shared" si="18"/>
        <v>490.65999999999997</v>
      </c>
      <c r="H30" s="155">
        <f t="shared" si="18"/>
        <v>158.88</v>
      </c>
      <c r="I30" s="155">
        <f t="shared" si="18"/>
        <v>393.6</v>
      </c>
      <c r="J30" s="155">
        <f t="shared" si="18"/>
        <v>0</v>
      </c>
      <c r="K30" s="155">
        <f t="shared" si="18"/>
        <v>0</v>
      </c>
      <c r="L30" s="155">
        <f t="shared" si="18"/>
        <v>613.29</v>
      </c>
      <c r="M30" s="182">
        <f>Коэффициенты!H8</f>
        <v>1</v>
      </c>
      <c r="N30" s="182">
        <f t="shared" si="19"/>
        <v>0.88800000000000001</v>
      </c>
      <c r="O30" s="767">
        <v>1</v>
      </c>
      <c r="P30" s="179"/>
      <c r="Q30" s="155">
        <f t="shared" si="20"/>
        <v>9100</v>
      </c>
      <c r="R30" s="189">
        <f t="shared" si="21"/>
        <v>9097.249200000002</v>
      </c>
    </row>
    <row r="31" spans="1:19" s="92" customFormat="1" ht="30" hidden="1" customHeight="1" outlineLevel="2" x14ac:dyDescent="0.2">
      <c r="A31" s="90" t="str">
        <f t="shared" si="17"/>
        <v>МАОУ СОШ № 2 им.М.И.Грибушина структурное подразделение</v>
      </c>
      <c r="B31" s="178"/>
      <c r="C31" s="178"/>
      <c r="D31" s="178"/>
      <c r="E31" s="178"/>
      <c r="F31" s="155">
        <f t="shared" si="18"/>
        <v>8588.2200000000012</v>
      </c>
      <c r="G31" s="155">
        <f t="shared" si="18"/>
        <v>490.65999999999997</v>
      </c>
      <c r="H31" s="155">
        <f t="shared" si="18"/>
        <v>158.88</v>
      </c>
      <c r="I31" s="155">
        <f t="shared" si="18"/>
        <v>393.6</v>
      </c>
      <c r="J31" s="155">
        <f t="shared" si="18"/>
        <v>0</v>
      </c>
      <c r="K31" s="155">
        <f t="shared" si="18"/>
        <v>0</v>
      </c>
      <c r="L31" s="155">
        <f t="shared" si="18"/>
        <v>613.29</v>
      </c>
      <c r="M31" s="182">
        <f>Коэффициенты!H9</f>
        <v>1</v>
      </c>
      <c r="N31" s="182">
        <f t="shared" si="19"/>
        <v>1.012</v>
      </c>
      <c r="O31" s="767">
        <v>0</v>
      </c>
      <c r="P31" s="179"/>
      <c r="Q31" s="155">
        <f t="shared" si="20"/>
        <v>0</v>
      </c>
      <c r="R31" s="189">
        <f t="shared" si="21"/>
        <v>10367.585800000001</v>
      </c>
    </row>
    <row r="32" spans="1:19" s="92" customFormat="1" ht="30" hidden="1" customHeight="1" outlineLevel="2" x14ac:dyDescent="0.2">
      <c r="A32" s="90" t="str">
        <f t="shared" si="17"/>
        <v>МАОУ СОШ № 10 структурное подразделение</v>
      </c>
      <c r="B32" s="178"/>
      <c r="C32" s="178"/>
      <c r="D32" s="178"/>
      <c r="E32" s="178"/>
      <c r="F32" s="155">
        <f t="shared" si="18"/>
        <v>8588.2200000000012</v>
      </c>
      <c r="G32" s="155">
        <f t="shared" si="18"/>
        <v>490.65999999999997</v>
      </c>
      <c r="H32" s="155">
        <f t="shared" si="18"/>
        <v>158.88</v>
      </c>
      <c r="I32" s="155">
        <f t="shared" si="18"/>
        <v>393.6</v>
      </c>
      <c r="J32" s="155">
        <f t="shared" si="18"/>
        <v>0</v>
      </c>
      <c r="K32" s="155">
        <f t="shared" si="18"/>
        <v>0</v>
      </c>
      <c r="L32" s="155">
        <f t="shared" si="18"/>
        <v>613.29</v>
      </c>
      <c r="M32" s="182">
        <f>Коэффициенты!H10</f>
        <v>1</v>
      </c>
      <c r="N32" s="182">
        <f t="shared" si="19"/>
        <v>0.82899999999999996</v>
      </c>
      <c r="O32" s="767">
        <v>0</v>
      </c>
      <c r="P32" s="179"/>
      <c r="Q32" s="155">
        <f t="shared" si="20"/>
        <v>0</v>
      </c>
      <c r="R32" s="189">
        <f t="shared" si="21"/>
        <v>8492.8148500000007</v>
      </c>
    </row>
    <row r="33" spans="1:21" s="92" customFormat="1" ht="30" hidden="1" customHeight="1" outlineLevel="2" x14ac:dyDescent="0.2">
      <c r="A33" s="90" t="str">
        <f t="shared" si="17"/>
        <v>МАОУ СОШ № 13 структурное подразделение</v>
      </c>
      <c r="B33" s="178"/>
      <c r="C33" s="178"/>
      <c r="D33" s="178"/>
      <c r="E33" s="178"/>
      <c r="F33" s="155">
        <f t="shared" si="18"/>
        <v>8588.2200000000012</v>
      </c>
      <c r="G33" s="155">
        <f t="shared" si="18"/>
        <v>490.65999999999997</v>
      </c>
      <c r="H33" s="155">
        <f t="shared" si="18"/>
        <v>158.88</v>
      </c>
      <c r="I33" s="155">
        <f t="shared" si="18"/>
        <v>393.6</v>
      </c>
      <c r="J33" s="155">
        <f t="shared" si="18"/>
        <v>0</v>
      </c>
      <c r="K33" s="155">
        <f t="shared" si="18"/>
        <v>0</v>
      </c>
      <c r="L33" s="155">
        <f t="shared" si="18"/>
        <v>613.29</v>
      </c>
      <c r="M33" s="182">
        <f>Коэффициенты!H11</f>
        <v>1</v>
      </c>
      <c r="N33" s="182">
        <f t="shared" si="19"/>
        <v>1.284</v>
      </c>
      <c r="O33" s="767">
        <v>0</v>
      </c>
      <c r="P33" s="179"/>
      <c r="Q33" s="155">
        <f t="shared" si="20"/>
        <v>0</v>
      </c>
      <c r="R33" s="189">
        <f>(B33+C33+D33+E33+F33+G33+H33+I33+J33+K33+L33)*M33*N33</f>
        <v>13154.130600000002</v>
      </c>
    </row>
    <row r="34" spans="1:21" s="92" customFormat="1" ht="30" hidden="1" customHeight="1" outlineLevel="2" x14ac:dyDescent="0.2">
      <c r="A34" s="90" t="str">
        <f t="shared" si="17"/>
        <v>Гимназия № 16 структурное подразделение</v>
      </c>
      <c r="B34" s="178"/>
      <c r="C34" s="178"/>
      <c r="D34" s="178"/>
      <c r="E34" s="178"/>
      <c r="F34" s="155">
        <f t="shared" si="18"/>
        <v>8588.2200000000012</v>
      </c>
      <c r="G34" s="155">
        <f t="shared" si="18"/>
        <v>490.65999999999997</v>
      </c>
      <c r="H34" s="155">
        <f t="shared" si="18"/>
        <v>158.88</v>
      </c>
      <c r="I34" s="155">
        <f t="shared" si="18"/>
        <v>393.6</v>
      </c>
      <c r="J34" s="155">
        <f t="shared" si="18"/>
        <v>0</v>
      </c>
      <c r="K34" s="155">
        <f t="shared" si="18"/>
        <v>0</v>
      </c>
      <c r="L34" s="155">
        <f t="shared" si="18"/>
        <v>613.29</v>
      </c>
      <c r="M34" s="182">
        <f>Коэффициенты!H12</f>
        <v>1</v>
      </c>
      <c r="N34" s="182">
        <f t="shared" si="19"/>
        <v>1.2290000000000001</v>
      </c>
      <c r="O34" s="767">
        <v>0</v>
      </c>
      <c r="P34" s="179"/>
      <c r="Q34" s="155">
        <f t="shared" si="20"/>
        <v>0</v>
      </c>
      <c r="R34" s="189">
        <f t="shared" si="21"/>
        <v>12590.674850000003</v>
      </c>
    </row>
    <row r="35" spans="1:21" s="92" customFormat="1" ht="30" hidden="1" customHeight="1" outlineLevel="2" thickBot="1" x14ac:dyDescent="0.25">
      <c r="A35" s="90" t="str">
        <f t="shared" si="17"/>
        <v>МАОУ ООШ № 17 с кадетскими классами структурное подразделение</v>
      </c>
      <c r="B35" s="178"/>
      <c r="C35" s="178"/>
      <c r="D35" s="178"/>
      <c r="E35" s="178"/>
      <c r="F35" s="155">
        <f t="shared" si="18"/>
        <v>8588.2200000000012</v>
      </c>
      <c r="G35" s="155">
        <f t="shared" si="18"/>
        <v>490.65999999999997</v>
      </c>
      <c r="H35" s="155">
        <f t="shared" si="18"/>
        <v>158.88</v>
      </c>
      <c r="I35" s="155">
        <f t="shared" si="18"/>
        <v>393.6</v>
      </c>
      <c r="J35" s="155">
        <f t="shared" si="18"/>
        <v>0</v>
      </c>
      <c r="K35" s="155">
        <f t="shared" si="18"/>
        <v>0</v>
      </c>
      <c r="L35" s="155">
        <f t="shared" si="18"/>
        <v>613.29</v>
      </c>
      <c r="M35" s="182">
        <f>Коэффициенты!H13</f>
        <v>1</v>
      </c>
      <c r="N35" s="182">
        <f t="shared" si="19"/>
        <v>2.5430000000000001</v>
      </c>
      <c r="O35" s="767">
        <v>0</v>
      </c>
      <c r="P35" s="179"/>
      <c r="Q35" s="155">
        <f t="shared" si="20"/>
        <v>0</v>
      </c>
      <c r="R35" s="189">
        <f t="shared" si="21"/>
        <v>26052.144950000005</v>
      </c>
    </row>
    <row r="36" spans="1:21" s="92" customFormat="1" ht="95.25" hidden="1" customHeight="1" outlineLevel="1" collapsed="1" thickBot="1" x14ac:dyDescent="0.25">
      <c r="A36" s="339" t="str">
        <f>Численность!H4</f>
        <v>Реализация основных общеобразовательных программ дошкольного образования Обучающиеся с ограниченными возможностями здоровья (ОВЗ) От 3 лет до 8 лет Очная группа полного дня</v>
      </c>
      <c r="B36" s="472" t="s">
        <v>345</v>
      </c>
      <c r="C36" s="175"/>
      <c r="D36" s="175"/>
      <c r="E36" s="175"/>
      <c r="F36" s="176">
        <f>'Общий 2021'!$F$10</f>
        <v>8588.2200000000012</v>
      </c>
      <c r="G36" s="176">
        <f>'Общий 2021'!G10</f>
        <v>490.65999999999997</v>
      </c>
      <c r="H36" s="176">
        <f>'Общий 2021'!H10</f>
        <v>158.88</v>
      </c>
      <c r="I36" s="176">
        <f>'Общий 2021'!I10</f>
        <v>393.6</v>
      </c>
      <c r="J36" s="176">
        <f>'Общий 2021'!J10</f>
        <v>0</v>
      </c>
      <c r="K36" s="176">
        <f>'Общий 2021'!K10</f>
        <v>0</v>
      </c>
      <c r="L36" s="176">
        <f>'Общий 2021'!L10</f>
        <v>521.6</v>
      </c>
      <c r="M36" s="181"/>
      <c r="N36" s="181"/>
      <c r="O36" s="765">
        <f>SUM(O37:O45)</f>
        <v>181</v>
      </c>
      <c r="P36" s="176"/>
      <c r="Q36" s="176">
        <f>SUM(Q37:Q45)</f>
        <v>1844400</v>
      </c>
      <c r="R36" s="189"/>
      <c r="S36" s="787">
        <f>SUM(F36:L36)-'Общий 2021'!M10</f>
        <v>0</v>
      </c>
    </row>
    <row r="37" spans="1:21" s="92" customFormat="1" ht="12.95" hidden="1" customHeight="1" outlineLevel="2" x14ac:dyDescent="0.2">
      <c r="A37" s="90" t="str">
        <f t="shared" ref="A37:A45" si="22">A17</f>
        <v>МАДОУ ЦРР-детский сад № 2</v>
      </c>
      <c r="B37" s="178"/>
      <c r="C37" s="178"/>
      <c r="D37" s="178"/>
      <c r="E37" s="178"/>
      <c r="F37" s="155">
        <f>F36</f>
        <v>8588.2200000000012</v>
      </c>
      <c r="G37" s="155">
        <f>$G$36</f>
        <v>490.65999999999997</v>
      </c>
      <c r="H37" s="155">
        <f>$H$36</f>
        <v>158.88</v>
      </c>
      <c r="I37" s="155">
        <f>$I$36</f>
        <v>393.6</v>
      </c>
      <c r="J37" s="155"/>
      <c r="K37" s="155"/>
      <c r="L37" s="155">
        <f>$L$36</f>
        <v>521.6</v>
      </c>
      <c r="M37" s="182">
        <f>Коэффициенты!I5</f>
        <v>1</v>
      </c>
      <c r="N37" s="182">
        <f t="shared" ref="N37:N45" si="23">N17</f>
        <v>1.0249999999999999</v>
      </c>
      <c r="O37" s="767">
        <v>41</v>
      </c>
      <c r="P37" s="179"/>
      <c r="Q37" s="155">
        <f>ROUND(ROUND((C37+D37+E37+F37+G37+H37+I37+J37+K37+L37)*M37*N37,2)*O37-P37,-2)</f>
        <v>426700</v>
      </c>
      <c r="R37" s="189">
        <f t="shared" si="15"/>
        <v>10406.784</v>
      </c>
      <c r="S37" s="499"/>
    </row>
    <row r="38" spans="1:21" s="92" customFormat="1" ht="12.95" hidden="1" customHeight="1" outlineLevel="2" x14ac:dyDescent="0.2">
      <c r="A38" s="90" t="str">
        <f t="shared" si="22"/>
        <v>МАДОУ ЦРР-детский сад № 11</v>
      </c>
      <c r="B38" s="178"/>
      <c r="C38" s="178"/>
      <c r="D38" s="178"/>
      <c r="E38" s="178"/>
      <c r="F38" s="155">
        <f t="shared" ref="F38:F45" si="24">F37</f>
        <v>8588.2200000000012</v>
      </c>
      <c r="G38" s="155">
        <f t="shared" ref="G38:G45" si="25">$G$36</f>
        <v>490.65999999999997</v>
      </c>
      <c r="H38" s="155">
        <f t="shared" ref="H38:H45" si="26">$H$36</f>
        <v>158.88</v>
      </c>
      <c r="I38" s="155">
        <f t="shared" ref="I38:I45" si="27">$I$36</f>
        <v>393.6</v>
      </c>
      <c r="J38" s="155"/>
      <c r="K38" s="155"/>
      <c r="L38" s="155">
        <f t="shared" ref="L38:L45" si="28">$L$36</f>
        <v>521.6</v>
      </c>
      <c r="M38" s="182">
        <f>Коэффициенты!I6</f>
        <v>1</v>
      </c>
      <c r="N38" s="182">
        <f t="shared" si="23"/>
        <v>0.93799999999999994</v>
      </c>
      <c r="O38" s="767">
        <v>34</v>
      </c>
      <c r="P38" s="179"/>
      <c r="Q38" s="155">
        <f t="shared" ref="Q38:Q45" si="29">ROUND(ROUND((C38+D38+E38+F38+G38+H38+I38+J38+K38+L38)*M38*N38,2)*O38-P38,-2)</f>
        <v>323800</v>
      </c>
      <c r="R38" s="189">
        <f t="shared" si="15"/>
        <v>9523.4764800000012</v>
      </c>
      <c r="S38" s="499"/>
    </row>
    <row r="39" spans="1:21" s="92" customFormat="1" ht="12.95" hidden="1" customHeight="1" outlineLevel="2" x14ac:dyDescent="0.2">
      <c r="A39" s="90" t="str">
        <f t="shared" si="22"/>
        <v>МАДОУ ЦРР-детский сад № 13</v>
      </c>
      <c r="B39" s="178"/>
      <c r="C39" s="178"/>
      <c r="D39" s="178"/>
      <c r="E39" s="178"/>
      <c r="F39" s="155">
        <f t="shared" si="24"/>
        <v>8588.2200000000012</v>
      </c>
      <c r="G39" s="155">
        <f t="shared" si="25"/>
        <v>490.65999999999997</v>
      </c>
      <c r="H39" s="155">
        <f t="shared" si="26"/>
        <v>158.88</v>
      </c>
      <c r="I39" s="155">
        <f t="shared" si="27"/>
        <v>393.6</v>
      </c>
      <c r="J39" s="155"/>
      <c r="K39" s="155"/>
      <c r="L39" s="155">
        <f t="shared" si="28"/>
        <v>521.6</v>
      </c>
      <c r="M39" s="182">
        <f>Коэффициенты!I7</f>
        <v>1</v>
      </c>
      <c r="N39" s="182">
        <f t="shared" si="23"/>
        <v>0.96399999999999997</v>
      </c>
      <c r="O39" s="767">
        <v>30</v>
      </c>
      <c r="P39" s="179"/>
      <c r="Q39" s="155">
        <f t="shared" si="29"/>
        <v>293600</v>
      </c>
      <c r="R39" s="189">
        <f t="shared" si="15"/>
        <v>9787.4534400000011</v>
      </c>
      <c r="S39" s="499"/>
    </row>
    <row r="40" spans="1:21" s="92" customFormat="1" ht="27" hidden="1" customHeight="1" outlineLevel="2" x14ac:dyDescent="0.2">
      <c r="A40" s="90" t="str">
        <f t="shared" si="22"/>
        <v>МАОУ СОШ № 1 структурное подразделение</v>
      </c>
      <c r="B40" s="178"/>
      <c r="C40" s="178"/>
      <c r="D40" s="178"/>
      <c r="E40" s="178"/>
      <c r="F40" s="155">
        <f t="shared" si="24"/>
        <v>8588.2200000000012</v>
      </c>
      <c r="G40" s="155">
        <f t="shared" si="25"/>
        <v>490.65999999999997</v>
      </c>
      <c r="H40" s="155">
        <f t="shared" si="26"/>
        <v>158.88</v>
      </c>
      <c r="I40" s="155">
        <f t="shared" si="27"/>
        <v>393.6</v>
      </c>
      <c r="J40" s="155"/>
      <c r="K40" s="155"/>
      <c r="L40" s="155">
        <f t="shared" si="28"/>
        <v>521.6</v>
      </c>
      <c r="M40" s="182">
        <f>Коэффициенты!I8</f>
        <v>1</v>
      </c>
      <c r="N40" s="182">
        <f t="shared" si="23"/>
        <v>0.88800000000000001</v>
      </c>
      <c r="O40" s="767">
        <v>21</v>
      </c>
      <c r="P40" s="179"/>
      <c r="Q40" s="155">
        <f t="shared" si="29"/>
        <v>189300</v>
      </c>
      <c r="R40" s="189">
        <f t="shared" si="15"/>
        <v>9015.8284800000001</v>
      </c>
      <c r="S40" s="499"/>
    </row>
    <row r="41" spans="1:21" s="92" customFormat="1" ht="41.45" hidden="1" customHeight="1" outlineLevel="2" x14ac:dyDescent="0.2">
      <c r="A41" s="90" t="str">
        <f t="shared" si="22"/>
        <v>МАОУ СОШ № 2 им.М.И.Грибушина структурное подразделение</v>
      </c>
      <c r="B41" s="178"/>
      <c r="C41" s="178"/>
      <c r="D41" s="178"/>
      <c r="E41" s="178"/>
      <c r="F41" s="155">
        <f t="shared" si="24"/>
        <v>8588.2200000000012</v>
      </c>
      <c r="G41" s="155">
        <f t="shared" si="25"/>
        <v>490.65999999999997</v>
      </c>
      <c r="H41" s="155">
        <f t="shared" si="26"/>
        <v>158.88</v>
      </c>
      <c r="I41" s="155">
        <f t="shared" si="27"/>
        <v>393.6</v>
      </c>
      <c r="J41" s="155"/>
      <c r="K41" s="155"/>
      <c r="L41" s="155">
        <f t="shared" si="28"/>
        <v>521.6</v>
      </c>
      <c r="M41" s="182">
        <f>Коэффициенты!I9</f>
        <v>1</v>
      </c>
      <c r="N41" s="182">
        <f t="shared" si="23"/>
        <v>1.012</v>
      </c>
      <c r="O41" s="767">
        <v>18</v>
      </c>
      <c r="P41" s="179"/>
      <c r="Q41" s="155">
        <f t="shared" si="29"/>
        <v>184900</v>
      </c>
      <c r="R41" s="189">
        <f t="shared" si="15"/>
        <v>10274.795520000001</v>
      </c>
      <c r="S41" s="499"/>
    </row>
    <row r="42" spans="1:21" s="92" customFormat="1" ht="28.15" hidden="1" customHeight="1" outlineLevel="2" x14ac:dyDescent="0.2">
      <c r="A42" s="90" t="str">
        <f t="shared" si="22"/>
        <v>МАОУ СОШ № 10 структурное подразделение</v>
      </c>
      <c r="B42" s="178"/>
      <c r="C42" s="178"/>
      <c r="D42" s="178"/>
      <c r="E42" s="178"/>
      <c r="F42" s="155">
        <f t="shared" si="24"/>
        <v>8588.2200000000012</v>
      </c>
      <c r="G42" s="155">
        <f t="shared" si="25"/>
        <v>490.65999999999997</v>
      </c>
      <c r="H42" s="155">
        <f t="shared" si="26"/>
        <v>158.88</v>
      </c>
      <c r="I42" s="155">
        <f t="shared" si="27"/>
        <v>393.6</v>
      </c>
      <c r="J42" s="155"/>
      <c r="K42" s="155"/>
      <c r="L42" s="155">
        <f t="shared" si="28"/>
        <v>521.6</v>
      </c>
      <c r="M42" s="182">
        <f>Коэффициенты!I10</f>
        <v>1</v>
      </c>
      <c r="N42" s="182">
        <f t="shared" si="23"/>
        <v>0.82899999999999996</v>
      </c>
      <c r="O42" s="767">
        <v>13</v>
      </c>
      <c r="P42" s="179"/>
      <c r="Q42" s="155">
        <f t="shared" si="29"/>
        <v>109400</v>
      </c>
      <c r="R42" s="189">
        <f t="shared" si="15"/>
        <v>8416.8038400000005</v>
      </c>
      <c r="S42" s="499"/>
    </row>
    <row r="43" spans="1:21" s="92" customFormat="1" ht="26.45" hidden="1" customHeight="1" outlineLevel="2" x14ac:dyDescent="0.2">
      <c r="A43" s="90" t="str">
        <f t="shared" si="22"/>
        <v>МАОУ СОШ № 13 структурное подразделение</v>
      </c>
      <c r="B43" s="178"/>
      <c r="C43" s="178"/>
      <c r="D43" s="178"/>
      <c r="E43" s="178"/>
      <c r="F43" s="155">
        <f t="shared" si="24"/>
        <v>8588.2200000000012</v>
      </c>
      <c r="G43" s="155">
        <f t="shared" si="25"/>
        <v>490.65999999999997</v>
      </c>
      <c r="H43" s="155">
        <f t="shared" si="26"/>
        <v>158.88</v>
      </c>
      <c r="I43" s="155">
        <f t="shared" si="27"/>
        <v>393.6</v>
      </c>
      <c r="J43" s="155"/>
      <c r="K43" s="155"/>
      <c r="L43" s="155">
        <f t="shared" si="28"/>
        <v>521.6</v>
      </c>
      <c r="M43" s="182">
        <f>Коэффициенты!I11</f>
        <v>1</v>
      </c>
      <c r="N43" s="182">
        <f t="shared" si="23"/>
        <v>1.284</v>
      </c>
      <c r="O43" s="767">
        <v>7</v>
      </c>
      <c r="P43" s="179"/>
      <c r="Q43" s="155">
        <f t="shared" si="29"/>
        <v>91300</v>
      </c>
      <c r="R43" s="189">
        <f t="shared" si="15"/>
        <v>13036.400640000002</v>
      </c>
      <c r="S43" s="499"/>
    </row>
    <row r="44" spans="1:21" s="92" customFormat="1" ht="28.9" hidden="1" customHeight="1" outlineLevel="2" x14ac:dyDescent="0.2">
      <c r="A44" s="90" t="str">
        <f t="shared" si="22"/>
        <v>Гимназия № 16 структурное подразделение</v>
      </c>
      <c r="B44" s="178"/>
      <c r="C44" s="178"/>
      <c r="D44" s="178"/>
      <c r="E44" s="178"/>
      <c r="F44" s="155">
        <f t="shared" si="24"/>
        <v>8588.2200000000012</v>
      </c>
      <c r="G44" s="155">
        <f t="shared" si="25"/>
        <v>490.65999999999997</v>
      </c>
      <c r="H44" s="155">
        <f t="shared" si="26"/>
        <v>158.88</v>
      </c>
      <c r="I44" s="155">
        <f t="shared" si="27"/>
        <v>393.6</v>
      </c>
      <c r="J44" s="155"/>
      <c r="K44" s="155"/>
      <c r="L44" s="155">
        <f t="shared" si="28"/>
        <v>521.6</v>
      </c>
      <c r="M44" s="182">
        <f>Коэффициенты!I12</f>
        <v>1</v>
      </c>
      <c r="N44" s="182">
        <f t="shared" si="23"/>
        <v>1.2290000000000001</v>
      </c>
      <c r="O44" s="767">
        <v>16</v>
      </c>
      <c r="P44" s="179"/>
      <c r="Q44" s="155">
        <f t="shared" si="29"/>
        <v>199600</v>
      </c>
      <c r="R44" s="189">
        <f t="shared" si="15"/>
        <v>12477.987840000002</v>
      </c>
      <c r="S44" s="499"/>
    </row>
    <row r="45" spans="1:21" s="92" customFormat="1" ht="40.9" hidden="1" customHeight="1" outlineLevel="2" thickBot="1" x14ac:dyDescent="0.25">
      <c r="A45" s="90" t="str">
        <f t="shared" si="22"/>
        <v>МАОУ ООШ № 17 с кадетскими классами структурное подразделение</v>
      </c>
      <c r="B45" s="178"/>
      <c r="C45" s="178"/>
      <c r="D45" s="178"/>
      <c r="E45" s="178"/>
      <c r="F45" s="155">
        <f t="shared" si="24"/>
        <v>8588.2200000000012</v>
      </c>
      <c r="G45" s="155">
        <f t="shared" si="25"/>
        <v>490.65999999999997</v>
      </c>
      <c r="H45" s="155">
        <f t="shared" si="26"/>
        <v>158.88</v>
      </c>
      <c r="I45" s="155">
        <f t="shared" si="27"/>
        <v>393.6</v>
      </c>
      <c r="J45" s="155"/>
      <c r="K45" s="155"/>
      <c r="L45" s="155">
        <f t="shared" si="28"/>
        <v>521.6</v>
      </c>
      <c r="M45" s="182">
        <f>Коэффициенты!I13</f>
        <v>1</v>
      </c>
      <c r="N45" s="182">
        <f t="shared" si="23"/>
        <v>2.5430000000000001</v>
      </c>
      <c r="O45" s="767">
        <v>1</v>
      </c>
      <c r="P45" s="179"/>
      <c r="Q45" s="155">
        <f t="shared" si="29"/>
        <v>25800</v>
      </c>
      <c r="R45" s="189">
        <f>(B45+C45+D45+E45+F45+G45+H45+I45+J45+K45+L45)*M45*N45</f>
        <v>25818.977280000003</v>
      </c>
      <c r="S45" s="499"/>
    </row>
    <row r="46" spans="1:21" s="92" customFormat="1" ht="105.75" hidden="1" customHeight="1" outlineLevel="1" collapsed="1" thickBot="1" x14ac:dyDescent="0.25">
      <c r="A46" s="339" t="str">
        <f>Численность!I4</f>
        <v>Реализация основных общеобразовательных программ дошкольного образования Адаптированная образовательная программа От 3 лет до 8 лет Очная группа полного дня</v>
      </c>
      <c r="B46" s="472" t="s">
        <v>346</v>
      </c>
      <c r="C46" s="175"/>
      <c r="D46" s="175"/>
      <c r="E46" s="175"/>
      <c r="F46" s="176">
        <f>'Общий 2021'!F11</f>
        <v>8588.2200000000012</v>
      </c>
      <c r="G46" s="176">
        <f>'Общий 2021'!G11</f>
        <v>490.65999999999997</v>
      </c>
      <c r="H46" s="176">
        <f>'Общий 2021'!H11</f>
        <v>158.88</v>
      </c>
      <c r="I46" s="176">
        <f>'Общий 2021'!I11</f>
        <v>393.6</v>
      </c>
      <c r="J46" s="176">
        <f>'Общий 2021'!J11</f>
        <v>0</v>
      </c>
      <c r="K46" s="176">
        <f>'Общий 2021'!K11</f>
        <v>0</v>
      </c>
      <c r="L46" s="176">
        <f>'Общий 2021'!L11</f>
        <v>521.6</v>
      </c>
      <c r="M46" s="181"/>
      <c r="N46" s="181"/>
      <c r="O46" s="765">
        <f>SUM(O47:O55)</f>
        <v>104</v>
      </c>
      <c r="P46" s="176"/>
      <c r="Q46" s="176">
        <f>SUM(Q47:Q55)</f>
        <v>1756300</v>
      </c>
      <c r="R46" s="189"/>
      <c r="S46" s="787">
        <f>SUM(F46:L46)-'Общий 2021'!M11</f>
        <v>0</v>
      </c>
      <c r="T46" s="801">
        <f>O6+O16+O26+O36+O46</f>
        <v>3902</v>
      </c>
      <c r="U46" s="92" t="s">
        <v>661</v>
      </c>
    </row>
    <row r="47" spans="1:21" s="92" customFormat="1" ht="12.95" hidden="1" customHeight="1" outlineLevel="2" x14ac:dyDescent="0.2">
      <c r="A47" s="90" t="str">
        <f t="shared" ref="A47:A55" si="30">A37</f>
        <v>МАДОУ ЦРР-детский сад № 2</v>
      </c>
      <c r="B47" s="178"/>
      <c r="C47" s="178"/>
      <c r="D47" s="178"/>
      <c r="E47" s="178"/>
      <c r="F47" s="155">
        <f>F46</f>
        <v>8588.2200000000012</v>
      </c>
      <c r="G47" s="155">
        <f>$G$46</f>
        <v>490.65999999999997</v>
      </c>
      <c r="H47" s="155">
        <f>$H$46</f>
        <v>158.88</v>
      </c>
      <c r="I47" s="155">
        <f>$I$46</f>
        <v>393.6</v>
      </c>
      <c r="J47" s="155"/>
      <c r="K47" s="155"/>
      <c r="L47" s="155">
        <f>$L$46</f>
        <v>521.6</v>
      </c>
      <c r="M47" s="182">
        <f>Коэффициенты!J5</f>
        <v>1.7330000000000001</v>
      </c>
      <c r="N47" s="182">
        <f t="shared" ref="N47:N55" si="31">N37</f>
        <v>1.0249999999999999</v>
      </c>
      <c r="O47" s="767">
        <v>0</v>
      </c>
      <c r="P47" s="179"/>
      <c r="Q47" s="155">
        <f>ROUND(ROUND((C47+D47+E47+F47+G47+H47+I47+J47+K47+L47)*M47*N47,2)*O47-P47,-2)</f>
        <v>0</v>
      </c>
      <c r="R47" s="189">
        <f t="shared" ref="R47:R54" si="32">(B47+C47+D47+E47+F47+G47+H47+I47+J47+K47+L47)*M47*N47</f>
        <v>18034.956672</v>
      </c>
    </row>
    <row r="48" spans="1:21" s="92" customFormat="1" ht="12.95" hidden="1" customHeight="1" outlineLevel="2" x14ac:dyDescent="0.2">
      <c r="A48" s="90" t="str">
        <f t="shared" si="30"/>
        <v>МАДОУ ЦРР-детский сад № 11</v>
      </c>
      <c r="B48" s="178"/>
      <c r="C48" s="178"/>
      <c r="D48" s="178"/>
      <c r="E48" s="178"/>
      <c r="F48" s="155">
        <f t="shared" ref="F48:F55" si="33">F47</f>
        <v>8588.2200000000012</v>
      </c>
      <c r="G48" s="155">
        <f t="shared" ref="G48:G55" si="34">$G$46</f>
        <v>490.65999999999997</v>
      </c>
      <c r="H48" s="155">
        <f t="shared" ref="H48:H55" si="35">$H$46</f>
        <v>158.88</v>
      </c>
      <c r="I48" s="155">
        <f t="shared" ref="I48:I55" si="36">$I$46</f>
        <v>393.6</v>
      </c>
      <c r="J48" s="155"/>
      <c r="K48" s="155"/>
      <c r="L48" s="155">
        <f t="shared" ref="L48:L55" si="37">$L$46</f>
        <v>521.6</v>
      </c>
      <c r="M48" s="182">
        <f>Коэффициенты!J6</f>
        <v>1.7330000000000001</v>
      </c>
      <c r="N48" s="182">
        <f t="shared" si="31"/>
        <v>0.93799999999999994</v>
      </c>
      <c r="O48" s="767">
        <v>17</v>
      </c>
      <c r="P48" s="179"/>
      <c r="Q48" s="155">
        <f t="shared" ref="Q48:Q55" si="38">ROUND(ROUND((C48+D48+E48+F48+G48+H48+I48+J48+K48+L48)*M48*N48,2)*O48-P48,-2)</f>
        <v>280600</v>
      </c>
      <c r="R48" s="189">
        <f t="shared" si="32"/>
        <v>16504.184739840002</v>
      </c>
    </row>
    <row r="49" spans="1:19" s="92" customFormat="1" ht="12.95" hidden="1" customHeight="1" outlineLevel="2" x14ac:dyDescent="0.2">
      <c r="A49" s="90" t="str">
        <f t="shared" si="30"/>
        <v>МАДОУ ЦРР-детский сад № 13</v>
      </c>
      <c r="B49" s="178"/>
      <c r="C49" s="178"/>
      <c r="D49" s="178"/>
      <c r="E49" s="178"/>
      <c r="F49" s="155">
        <f t="shared" si="33"/>
        <v>8588.2200000000012</v>
      </c>
      <c r="G49" s="155">
        <f t="shared" si="34"/>
        <v>490.65999999999997</v>
      </c>
      <c r="H49" s="155">
        <f t="shared" si="35"/>
        <v>158.88</v>
      </c>
      <c r="I49" s="155">
        <f t="shared" si="36"/>
        <v>393.6</v>
      </c>
      <c r="J49" s="155"/>
      <c r="K49" s="155"/>
      <c r="L49" s="155">
        <f t="shared" si="37"/>
        <v>521.6</v>
      </c>
      <c r="M49" s="182">
        <f>Коэффициенты!J7</f>
        <v>1.7330000000000001</v>
      </c>
      <c r="N49" s="182">
        <f t="shared" si="31"/>
        <v>0.96399999999999997</v>
      </c>
      <c r="O49" s="767">
        <v>87</v>
      </c>
      <c r="P49" s="179"/>
      <c r="Q49" s="155">
        <f>ROUND(ROUND((C49+D49+E49+F49+G49+H49+I49+J49+K49+L49)*M49*N49,2)*O49-P49,-2)</f>
        <v>1475700</v>
      </c>
      <c r="R49" s="189">
        <f t="shared" si="32"/>
        <v>16961.656811520003</v>
      </c>
    </row>
    <row r="50" spans="1:19" s="92" customFormat="1" ht="28.9" hidden="1" customHeight="1" outlineLevel="2" x14ac:dyDescent="0.2">
      <c r="A50" s="90" t="str">
        <f t="shared" si="30"/>
        <v>МАОУ СОШ № 1 структурное подразделение</v>
      </c>
      <c r="B50" s="178"/>
      <c r="C50" s="178"/>
      <c r="D50" s="178"/>
      <c r="E50" s="178"/>
      <c r="F50" s="155">
        <f t="shared" si="33"/>
        <v>8588.2200000000012</v>
      </c>
      <c r="G50" s="155">
        <f t="shared" si="34"/>
        <v>490.65999999999997</v>
      </c>
      <c r="H50" s="155">
        <f t="shared" si="35"/>
        <v>158.88</v>
      </c>
      <c r="I50" s="155">
        <f t="shared" si="36"/>
        <v>393.6</v>
      </c>
      <c r="J50" s="155"/>
      <c r="K50" s="155"/>
      <c r="L50" s="155">
        <f t="shared" si="37"/>
        <v>521.6</v>
      </c>
      <c r="M50" s="182">
        <f>Коэффициенты!J8</f>
        <v>1.7330000000000001</v>
      </c>
      <c r="N50" s="182">
        <f t="shared" si="31"/>
        <v>0.88800000000000001</v>
      </c>
      <c r="O50" s="767">
        <v>0</v>
      </c>
      <c r="P50" s="179"/>
      <c r="Q50" s="155">
        <f t="shared" si="38"/>
        <v>0</v>
      </c>
      <c r="R50" s="189">
        <f t="shared" si="32"/>
        <v>15624.430755840003</v>
      </c>
    </row>
    <row r="51" spans="1:19" s="92" customFormat="1" ht="43.15" hidden="1" customHeight="1" outlineLevel="2" x14ac:dyDescent="0.2">
      <c r="A51" s="90" t="str">
        <f t="shared" si="30"/>
        <v>МАОУ СОШ № 2 им.М.И.Грибушина структурное подразделение</v>
      </c>
      <c r="B51" s="178"/>
      <c r="C51" s="178"/>
      <c r="D51" s="178"/>
      <c r="E51" s="178"/>
      <c r="F51" s="155">
        <f t="shared" si="33"/>
        <v>8588.2200000000012</v>
      </c>
      <c r="G51" s="155">
        <f t="shared" si="34"/>
        <v>490.65999999999997</v>
      </c>
      <c r="H51" s="155">
        <f t="shared" si="35"/>
        <v>158.88</v>
      </c>
      <c r="I51" s="155">
        <f t="shared" si="36"/>
        <v>393.6</v>
      </c>
      <c r="J51" s="155"/>
      <c r="K51" s="155"/>
      <c r="L51" s="155">
        <f t="shared" si="37"/>
        <v>521.6</v>
      </c>
      <c r="M51" s="182">
        <f>Коэффициенты!J9</f>
        <v>1.7330000000000001</v>
      </c>
      <c r="N51" s="182">
        <f t="shared" si="31"/>
        <v>1.012</v>
      </c>
      <c r="O51" s="767">
        <v>0</v>
      </c>
      <c r="P51" s="179"/>
      <c r="Q51" s="155">
        <f t="shared" si="38"/>
        <v>0</v>
      </c>
      <c r="R51" s="189">
        <f t="shared" si="32"/>
        <v>17806.220636160004</v>
      </c>
    </row>
    <row r="52" spans="1:19" s="92" customFormat="1" ht="29.45" hidden="1" customHeight="1" outlineLevel="2" x14ac:dyDescent="0.2">
      <c r="A52" s="90" t="str">
        <f t="shared" si="30"/>
        <v>МАОУ СОШ № 10 структурное подразделение</v>
      </c>
      <c r="B52" s="178"/>
      <c r="C52" s="178"/>
      <c r="D52" s="178"/>
      <c r="E52" s="178"/>
      <c r="F52" s="155">
        <f t="shared" si="33"/>
        <v>8588.2200000000012</v>
      </c>
      <c r="G52" s="155">
        <f t="shared" si="34"/>
        <v>490.65999999999997</v>
      </c>
      <c r="H52" s="155">
        <f t="shared" si="35"/>
        <v>158.88</v>
      </c>
      <c r="I52" s="155">
        <f t="shared" si="36"/>
        <v>393.6</v>
      </c>
      <c r="J52" s="155"/>
      <c r="K52" s="155"/>
      <c r="L52" s="155">
        <f t="shared" si="37"/>
        <v>521.6</v>
      </c>
      <c r="M52" s="182">
        <f>Коэффициенты!J10</f>
        <v>1.7330000000000001</v>
      </c>
      <c r="N52" s="182">
        <f t="shared" si="31"/>
        <v>0.82899999999999996</v>
      </c>
      <c r="O52" s="767">
        <v>0</v>
      </c>
      <c r="P52" s="179"/>
      <c r="Q52" s="155">
        <f t="shared" si="38"/>
        <v>0</v>
      </c>
      <c r="R52" s="189">
        <f t="shared" si="32"/>
        <v>14586.321054720001</v>
      </c>
    </row>
    <row r="53" spans="1:19" s="92" customFormat="1" ht="29.45" hidden="1" customHeight="1" outlineLevel="2" x14ac:dyDescent="0.2">
      <c r="A53" s="90" t="str">
        <f t="shared" si="30"/>
        <v>МАОУ СОШ № 13 структурное подразделение</v>
      </c>
      <c r="B53" s="178"/>
      <c r="C53" s="178"/>
      <c r="D53" s="178"/>
      <c r="E53" s="178"/>
      <c r="F53" s="155">
        <f t="shared" si="33"/>
        <v>8588.2200000000012</v>
      </c>
      <c r="G53" s="155">
        <f t="shared" si="34"/>
        <v>490.65999999999997</v>
      </c>
      <c r="H53" s="155">
        <f t="shared" si="35"/>
        <v>158.88</v>
      </c>
      <c r="I53" s="155">
        <f t="shared" si="36"/>
        <v>393.6</v>
      </c>
      <c r="J53" s="155"/>
      <c r="K53" s="155"/>
      <c r="L53" s="155">
        <f t="shared" si="37"/>
        <v>521.6</v>
      </c>
      <c r="M53" s="182">
        <f>Коэффициенты!J11</f>
        <v>1.7330000000000001</v>
      </c>
      <c r="N53" s="182">
        <f t="shared" si="31"/>
        <v>1.284</v>
      </c>
      <c r="O53" s="767">
        <v>0</v>
      </c>
      <c r="P53" s="179"/>
      <c r="Q53" s="155">
        <f t="shared" si="38"/>
        <v>0</v>
      </c>
      <c r="R53" s="189">
        <f t="shared" si="32"/>
        <v>22592.082309120004</v>
      </c>
    </row>
    <row r="54" spans="1:19" s="92" customFormat="1" ht="31.9" hidden="1" customHeight="1" outlineLevel="2" x14ac:dyDescent="0.2">
      <c r="A54" s="90" t="str">
        <f t="shared" si="30"/>
        <v>Гимназия № 16 структурное подразделение</v>
      </c>
      <c r="B54" s="178"/>
      <c r="C54" s="178"/>
      <c r="D54" s="178"/>
      <c r="E54" s="178"/>
      <c r="F54" s="155">
        <f t="shared" si="33"/>
        <v>8588.2200000000012</v>
      </c>
      <c r="G54" s="155">
        <f t="shared" si="34"/>
        <v>490.65999999999997</v>
      </c>
      <c r="H54" s="155">
        <f t="shared" si="35"/>
        <v>158.88</v>
      </c>
      <c r="I54" s="155">
        <f t="shared" si="36"/>
        <v>393.6</v>
      </c>
      <c r="J54" s="155"/>
      <c r="K54" s="155"/>
      <c r="L54" s="155">
        <f t="shared" si="37"/>
        <v>521.6</v>
      </c>
      <c r="M54" s="182">
        <f>Коэффициенты!J12</f>
        <v>1.7330000000000001</v>
      </c>
      <c r="N54" s="182">
        <f t="shared" si="31"/>
        <v>1.2290000000000001</v>
      </c>
      <c r="O54" s="767">
        <v>0</v>
      </c>
      <c r="P54" s="179"/>
      <c r="Q54" s="155">
        <f t="shared" si="38"/>
        <v>0</v>
      </c>
      <c r="R54" s="189">
        <f t="shared" si="32"/>
        <v>21624.352926720007</v>
      </c>
    </row>
    <row r="55" spans="1:19" s="92" customFormat="1" ht="43.9" hidden="1" customHeight="1" outlineLevel="2" thickBot="1" x14ac:dyDescent="0.25">
      <c r="A55" s="90" t="str">
        <f t="shared" si="30"/>
        <v>МАОУ ООШ № 17 с кадетскими классами структурное подразделение</v>
      </c>
      <c r="B55" s="178"/>
      <c r="C55" s="178"/>
      <c r="D55" s="178"/>
      <c r="E55" s="178"/>
      <c r="F55" s="155">
        <f t="shared" si="33"/>
        <v>8588.2200000000012</v>
      </c>
      <c r="G55" s="155">
        <f t="shared" si="34"/>
        <v>490.65999999999997</v>
      </c>
      <c r="H55" s="155">
        <f t="shared" si="35"/>
        <v>158.88</v>
      </c>
      <c r="I55" s="155">
        <f t="shared" si="36"/>
        <v>393.6</v>
      </c>
      <c r="J55" s="155"/>
      <c r="K55" s="155"/>
      <c r="L55" s="155">
        <f t="shared" si="37"/>
        <v>521.6</v>
      </c>
      <c r="M55" s="182">
        <f>Коэффициенты!J13</f>
        <v>1.7330000000000001</v>
      </c>
      <c r="N55" s="182">
        <f t="shared" si="31"/>
        <v>2.5430000000000001</v>
      </c>
      <c r="O55" s="767">
        <v>0</v>
      </c>
      <c r="P55" s="179"/>
      <c r="Q55" s="155">
        <f t="shared" si="38"/>
        <v>0</v>
      </c>
      <c r="R55" s="189">
        <f>(B55+C55+D55+E55+F55+G55+H55+I55+J55+K55+L55)*M55*N55</f>
        <v>44744.28762624001</v>
      </c>
    </row>
    <row r="56" spans="1:19" ht="54" hidden="1" customHeight="1" outlineLevel="1" collapsed="1" thickBot="1" x14ac:dyDescent="0.25">
      <c r="A56" s="173" t="s">
        <v>191</v>
      </c>
      <c r="B56" s="471" t="s">
        <v>347</v>
      </c>
      <c r="C56" s="175"/>
      <c r="D56" s="176">
        <f>'Общий 2021'!D13</f>
        <v>30162.2</v>
      </c>
      <c r="E56" s="176"/>
      <c r="F56" s="176"/>
      <c r="G56" s="176"/>
      <c r="H56" s="176"/>
      <c r="I56" s="176"/>
      <c r="J56" s="176"/>
      <c r="K56" s="176"/>
      <c r="L56" s="176">
        <f>'Общий 2021'!L12</f>
        <v>695.3599999999999</v>
      </c>
      <c r="M56" s="175"/>
      <c r="N56" s="175"/>
      <c r="O56" s="765">
        <f>SUM(O57:O65)</f>
        <v>499</v>
      </c>
      <c r="P56" s="176">
        <f>SUM(P57:P65)</f>
        <v>12695200</v>
      </c>
      <c r="Q56" s="176">
        <f>SUM(Q57:Q65)</f>
        <v>2702800</v>
      </c>
      <c r="S56" s="787">
        <f>SUM(C56:L56)-'Общий 2021'!M12</f>
        <v>0</v>
      </c>
    </row>
    <row r="57" spans="1:19" ht="12.95" hidden="1" customHeight="1" outlineLevel="2" x14ac:dyDescent="0.2">
      <c r="A57" s="90" t="str">
        <f t="shared" ref="A57:A65" si="39">A17</f>
        <v>МАДОУ ЦРР-детский сад № 2</v>
      </c>
      <c r="B57" s="164"/>
      <c r="C57" s="164"/>
      <c r="D57" s="155">
        <f>$D$56</f>
        <v>30162.2</v>
      </c>
      <c r="E57" s="164"/>
      <c r="F57" s="164"/>
      <c r="G57" s="164"/>
      <c r="H57" s="164"/>
      <c r="I57" s="164"/>
      <c r="J57" s="164"/>
      <c r="K57" s="164"/>
      <c r="L57" s="155">
        <f>$L$56</f>
        <v>695.3599999999999</v>
      </c>
      <c r="M57" s="164">
        <v>1</v>
      </c>
      <c r="N57" s="164">
        <v>1</v>
      </c>
      <c r="O57" s="766">
        <v>53</v>
      </c>
      <c r="P57" s="155">
        <f>ROUND(O57*103*247,-2)</f>
        <v>1348400</v>
      </c>
      <c r="Q57" s="155">
        <f>ROUND(ROUND((C57+D57+E57+F57+G57+H57+I57+J57+K57+L57)*M57*N57,2)*O57-P57,-2)</f>
        <v>287100</v>
      </c>
      <c r="R57" s="189">
        <f>(B57+C57+D57+E57+F57+G57+H57+I57+J57+K57+L57-'Питание норматив'!$H$40)*M57*N57</f>
        <v>1711.5600000000013</v>
      </c>
      <c r="S57" s="186"/>
    </row>
    <row r="58" spans="1:19" ht="12.95" hidden="1" customHeight="1" outlineLevel="2" x14ac:dyDescent="0.2">
      <c r="A58" s="90" t="str">
        <f t="shared" si="39"/>
        <v>МАДОУ ЦРР-детский сад № 11</v>
      </c>
      <c r="B58" s="164"/>
      <c r="C58" s="164"/>
      <c r="D58" s="155">
        <f t="shared" ref="D58:D65" si="40">$D$56</f>
        <v>30162.2</v>
      </c>
      <c r="E58" s="164"/>
      <c r="F58" s="164"/>
      <c r="G58" s="164"/>
      <c r="H58" s="164"/>
      <c r="I58" s="164"/>
      <c r="J58" s="164"/>
      <c r="K58" s="164"/>
      <c r="L58" s="155">
        <f t="shared" ref="L58:L65" si="41">$L$56</f>
        <v>695.3599999999999</v>
      </c>
      <c r="M58" s="293">
        <v>1</v>
      </c>
      <c r="N58" s="293">
        <v>1</v>
      </c>
      <c r="O58" s="766">
        <v>94</v>
      </c>
      <c r="P58" s="155">
        <f t="shared" ref="P58:P65" si="42">ROUND(O58*103*247,-2)</f>
        <v>2391500</v>
      </c>
      <c r="Q58" s="155">
        <f t="shared" ref="Q58:Q65" si="43">ROUND(ROUND((C58+D58+E58+F58+G58+H58+I58+J58+K58+L58)*M58*N58,2)*O58-P58,-2)</f>
        <v>509100</v>
      </c>
      <c r="R58" s="189">
        <f>(B58+C58+D58+E58+F58+G58+H58+I58+J58+K58+L58-'Питание норматив'!$H$40)*M58*N58</f>
        <v>1711.5600000000013</v>
      </c>
      <c r="S58" s="186"/>
    </row>
    <row r="59" spans="1:19" ht="12.95" hidden="1" customHeight="1" outlineLevel="2" x14ac:dyDescent="0.2">
      <c r="A59" s="90" t="str">
        <f t="shared" si="39"/>
        <v>МАДОУ ЦРР-детский сад № 13</v>
      </c>
      <c r="B59" s="164"/>
      <c r="C59" s="164"/>
      <c r="D59" s="155">
        <f t="shared" si="40"/>
        <v>30162.2</v>
      </c>
      <c r="E59" s="164"/>
      <c r="F59" s="164"/>
      <c r="G59" s="164"/>
      <c r="H59" s="164"/>
      <c r="I59" s="164"/>
      <c r="J59" s="164"/>
      <c r="K59" s="164"/>
      <c r="L59" s="155">
        <f t="shared" si="41"/>
        <v>695.3599999999999</v>
      </c>
      <c r="M59" s="293">
        <v>1</v>
      </c>
      <c r="N59" s="293">
        <v>1</v>
      </c>
      <c r="O59" s="766">
        <v>141</v>
      </c>
      <c r="P59" s="155">
        <f t="shared" si="42"/>
        <v>3587200</v>
      </c>
      <c r="Q59" s="155">
        <f t="shared" si="43"/>
        <v>763700</v>
      </c>
      <c r="R59" s="189">
        <f>(B59+C59+D59+E59+F59+G59+H59+I59+J59+K59+L59-'Питание норматив'!$H$40)*M59*N59</f>
        <v>1711.5600000000013</v>
      </c>
      <c r="S59" s="186"/>
    </row>
    <row r="60" spans="1:19" ht="30" hidden="1" customHeight="1" outlineLevel="2" x14ac:dyDescent="0.2">
      <c r="A60" s="90" t="str">
        <f t="shared" si="39"/>
        <v>МАОУ СОШ № 1 структурное подразделение</v>
      </c>
      <c r="B60" s="164"/>
      <c r="C60" s="164"/>
      <c r="D60" s="155">
        <f t="shared" si="40"/>
        <v>30162.2</v>
      </c>
      <c r="E60" s="164"/>
      <c r="F60" s="164"/>
      <c r="G60" s="164"/>
      <c r="H60" s="164"/>
      <c r="I60" s="164"/>
      <c r="J60" s="164"/>
      <c r="K60" s="164"/>
      <c r="L60" s="155">
        <f t="shared" si="41"/>
        <v>695.3599999999999</v>
      </c>
      <c r="M60" s="293">
        <v>1</v>
      </c>
      <c r="N60" s="293">
        <v>1</v>
      </c>
      <c r="O60" s="766">
        <v>35</v>
      </c>
      <c r="P60" s="155">
        <f t="shared" si="42"/>
        <v>890400</v>
      </c>
      <c r="Q60" s="155">
        <f t="shared" si="43"/>
        <v>189600</v>
      </c>
      <c r="R60" s="189">
        <f>(B60+C60+D60+E60+F60+G60+H60+I60+J60+K60+L60-'Питание норматив'!$H$40)*M60*N60</f>
        <v>1711.5600000000013</v>
      </c>
      <c r="S60" s="186"/>
    </row>
    <row r="61" spans="1:19" ht="31.15" hidden="1" customHeight="1" outlineLevel="2" x14ac:dyDescent="0.2">
      <c r="A61" s="90" t="str">
        <f t="shared" si="39"/>
        <v>МАОУ СОШ № 2 им.М.И.Грибушина структурное подразделение</v>
      </c>
      <c r="B61" s="164"/>
      <c r="C61" s="164"/>
      <c r="D61" s="155">
        <f t="shared" si="40"/>
        <v>30162.2</v>
      </c>
      <c r="E61" s="164"/>
      <c r="F61" s="164"/>
      <c r="G61" s="164"/>
      <c r="H61" s="164"/>
      <c r="I61" s="164"/>
      <c r="J61" s="164"/>
      <c r="K61" s="164"/>
      <c r="L61" s="155">
        <f t="shared" si="41"/>
        <v>695.3599999999999</v>
      </c>
      <c r="M61" s="293">
        <v>1</v>
      </c>
      <c r="N61" s="293">
        <v>1</v>
      </c>
      <c r="O61" s="766">
        <v>53</v>
      </c>
      <c r="P61" s="155">
        <f t="shared" si="42"/>
        <v>1348400</v>
      </c>
      <c r="Q61" s="155">
        <f t="shared" si="43"/>
        <v>287100</v>
      </c>
      <c r="R61" s="189">
        <f>(B61+C61+D61+E61+F61+G61+H61+I61+J61+K61+L61-'Питание норматив'!$H$40)*M61*N61</f>
        <v>1711.5600000000013</v>
      </c>
      <c r="S61" s="186"/>
    </row>
    <row r="62" spans="1:19" ht="32.450000000000003" hidden="1" customHeight="1" outlineLevel="2" x14ac:dyDescent="0.2">
      <c r="A62" s="90" t="str">
        <f t="shared" si="39"/>
        <v>МАОУ СОШ № 10 структурное подразделение</v>
      </c>
      <c r="B62" s="164"/>
      <c r="C62" s="164"/>
      <c r="D62" s="155">
        <f t="shared" si="40"/>
        <v>30162.2</v>
      </c>
      <c r="E62" s="164"/>
      <c r="F62" s="164"/>
      <c r="G62" s="164"/>
      <c r="H62" s="164"/>
      <c r="I62" s="164"/>
      <c r="J62" s="164"/>
      <c r="K62" s="164"/>
      <c r="L62" s="155">
        <f t="shared" si="41"/>
        <v>695.3599999999999</v>
      </c>
      <c r="M62" s="293">
        <v>1</v>
      </c>
      <c r="N62" s="293">
        <v>1</v>
      </c>
      <c r="O62" s="766">
        <v>21</v>
      </c>
      <c r="P62" s="155">
        <f t="shared" si="42"/>
        <v>534300</v>
      </c>
      <c r="Q62" s="155">
        <f t="shared" si="43"/>
        <v>113700</v>
      </c>
      <c r="R62" s="189">
        <f>(B62+C62+D62+E62+F62+G62+H62+I62+J62+K62+L62-'Питание норматив'!$H$40)*M62*N62</f>
        <v>1711.5600000000013</v>
      </c>
      <c r="S62" s="186"/>
    </row>
    <row r="63" spans="1:19" ht="28.9" hidden="1" customHeight="1" outlineLevel="2" x14ac:dyDescent="0.2">
      <c r="A63" s="90" t="str">
        <f t="shared" si="39"/>
        <v>МАОУ СОШ № 13 структурное подразделение</v>
      </c>
      <c r="B63" s="164"/>
      <c r="C63" s="164"/>
      <c r="D63" s="155">
        <f t="shared" si="40"/>
        <v>30162.2</v>
      </c>
      <c r="E63" s="164"/>
      <c r="F63" s="164"/>
      <c r="G63" s="164"/>
      <c r="H63" s="164"/>
      <c r="I63" s="164"/>
      <c r="J63" s="164"/>
      <c r="K63" s="164"/>
      <c r="L63" s="155">
        <f t="shared" si="41"/>
        <v>695.3599999999999</v>
      </c>
      <c r="M63" s="293">
        <v>1</v>
      </c>
      <c r="N63" s="293">
        <v>1</v>
      </c>
      <c r="O63" s="766">
        <v>32</v>
      </c>
      <c r="P63" s="155">
        <f t="shared" si="42"/>
        <v>814100</v>
      </c>
      <c r="Q63" s="155">
        <f t="shared" si="43"/>
        <v>173300</v>
      </c>
      <c r="R63" s="189">
        <f>(B63+C63+D63+E63+F63+G63+H63+I63+J63+K63+L63-'Питание норматив'!$H$40)*M63*N63</f>
        <v>1711.5600000000013</v>
      </c>
      <c r="S63" s="186"/>
    </row>
    <row r="64" spans="1:19" ht="31.9" hidden="1" customHeight="1" outlineLevel="2" x14ac:dyDescent="0.2">
      <c r="A64" s="90" t="str">
        <f t="shared" si="39"/>
        <v>Гимназия № 16 структурное подразделение</v>
      </c>
      <c r="B64" s="164"/>
      <c r="C64" s="164"/>
      <c r="D64" s="155">
        <f t="shared" si="40"/>
        <v>30162.2</v>
      </c>
      <c r="E64" s="164"/>
      <c r="F64" s="164"/>
      <c r="G64" s="164"/>
      <c r="H64" s="164"/>
      <c r="I64" s="164"/>
      <c r="J64" s="164"/>
      <c r="K64" s="164"/>
      <c r="L64" s="155">
        <f t="shared" si="41"/>
        <v>695.3599999999999</v>
      </c>
      <c r="M64" s="293">
        <v>1</v>
      </c>
      <c r="N64" s="293">
        <v>1</v>
      </c>
      <c r="O64" s="766">
        <v>53</v>
      </c>
      <c r="P64" s="155">
        <f t="shared" si="42"/>
        <v>1348400</v>
      </c>
      <c r="Q64" s="155">
        <f t="shared" si="43"/>
        <v>287100</v>
      </c>
      <c r="R64" s="189">
        <f>(B64+C64+D64+E64+F64+G64+H64+I64+J64+K64+L64-'Питание норматив'!$H$40)*M64*N64</f>
        <v>1711.5600000000013</v>
      </c>
      <c r="S64" s="186"/>
    </row>
    <row r="65" spans="1:19" ht="45.6" hidden="1" customHeight="1" outlineLevel="2" thickBot="1" x14ac:dyDescent="0.25">
      <c r="A65" s="90" t="str">
        <f t="shared" si="39"/>
        <v>МАОУ ООШ № 17 с кадетскими классами структурное подразделение</v>
      </c>
      <c r="B65" s="293"/>
      <c r="C65" s="293"/>
      <c r="D65" s="155">
        <f t="shared" si="40"/>
        <v>30162.2</v>
      </c>
      <c r="E65" s="293"/>
      <c r="F65" s="293"/>
      <c r="G65" s="293"/>
      <c r="H65" s="293"/>
      <c r="I65" s="293"/>
      <c r="J65" s="293"/>
      <c r="K65" s="293"/>
      <c r="L65" s="155">
        <f t="shared" si="41"/>
        <v>695.3599999999999</v>
      </c>
      <c r="M65" s="293">
        <v>1</v>
      </c>
      <c r="N65" s="293">
        <v>1</v>
      </c>
      <c r="O65" s="766">
        <v>17</v>
      </c>
      <c r="P65" s="155">
        <f t="shared" si="42"/>
        <v>432500</v>
      </c>
      <c r="Q65" s="155">
        <f t="shared" si="43"/>
        <v>92100</v>
      </c>
      <c r="R65" s="189">
        <f>(B65+C65+D65+E65+F65+G65+H65+I65+J65+K65+L65-'Питание норматив'!$H$40)*M65*N65</f>
        <v>1711.5600000000013</v>
      </c>
      <c r="S65" s="186"/>
    </row>
    <row r="66" spans="1:19" ht="52.5" hidden="1" customHeight="1" outlineLevel="1" collapsed="1" thickBot="1" x14ac:dyDescent="0.25">
      <c r="A66" s="173" t="str">
        <f>Численность!U4</f>
        <v>Присмотр и уход Физические лица льготных категорий, определяемых учредителем От 3 лет до 8 лет группа полного дня</v>
      </c>
      <c r="B66" s="562" t="s">
        <v>393</v>
      </c>
      <c r="C66" s="175"/>
      <c r="D66" s="176">
        <f>'Общий 2021'!D14</f>
        <v>30162.2</v>
      </c>
      <c r="E66" s="176"/>
      <c r="F66" s="176"/>
      <c r="G66" s="176"/>
      <c r="H66" s="176"/>
      <c r="I66" s="176"/>
      <c r="J66" s="176"/>
      <c r="K66" s="176"/>
      <c r="L66" s="176">
        <f>'Общий 2021'!L14</f>
        <v>695.3599999999999</v>
      </c>
      <c r="M66" s="175"/>
      <c r="N66" s="175"/>
      <c r="O66" s="765">
        <f>SUM(O67:O75)</f>
        <v>1</v>
      </c>
      <c r="P66" s="176">
        <f>SUM(P67:P75)</f>
        <v>12700</v>
      </c>
      <c r="Q66" s="176">
        <f>SUM(Q67:Q75)</f>
        <v>18200</v>
      </c>
      <c r="R66" s="68"/>
      <c r="S66" s="787">
        <f>SUM(C66:L66)-'Общий 2021'!M13</f>
        <v>0</v>
      </c>
    </row>
    <row r="67" spans="1:19" ht="12.95" hidden="1" customHeight="1" outlineLevel="2" x14ac:dyDescent="0.2">
      <c r="A67" s="90" t="str">
        <f>A57</f>
        <v>МАДОУ ЦРР-детский сад № 2</v>
      </c>
      <c r="B67" s="560"/>
      <c r="C67" s="560"/>
      <c r="D67" s="155">
        <f>$D$66</f>
        <v>30162.2</v>
      </c>
      <c r="E67" s="560"/>
      <c r="F67" s="560"/>
      <c r="G67" s="560"/>
      <c r="H67" s="560"/>
      <c r="I67" s="560"/>
      <c r="J67" s="560"/>
      <c r="K67" s="560"/>
      <c r="L67" s="155">
        <f>$L$66</f>
        <v>695.3599999999999</v>
      </c>
      <c r="M67" s="560">
        <v>1</v>
      </c>
      <c r="N67" s="560">
        <v>1</v>
      </c>
      <c r="O67" s="766">
        <v>0</v>
      </c>
      <c r="P67" s="155">
        <f>ROUND(O67*103*247*50%,-2)</f>
        <v>0</v>
      </c>
      <c r="Q67" s="155">
        <f>ROUND(ROUND((C67+D67+E67+F67+G67+H67+I67+J67+K67+L67)*M67*N67,2)*O67-P67,-2)</f>
        <v>0</v>
      </c>
      <c r="R67" s="189">
        <f>(B67+C67+D67+E67+F67+G67+H67+I67+J67+K67+L67-'Питание норматив'!$H$40)*M67*N67</f>
        <v>1711.5600000000013</v>
      </c>
      <c r="S67" s="186"/>
    </row>
    <row r="68" spans="1:19" ht="12.95" hidden="1" customHeight="1" outlineLevel="2" x14ac:dyDescent="0.2">
      <c r="A68" s="90" t="str">
        <f t="shared" ref="A68:A75" si="44">A58</f>
        <v>МАДОУ ЦРР-детский сад № 11</v>
      </c>
      <c r="B68" s="560"/>
      <c r="C68" s="560"/>
      <c r="D68" s="155">
        <f t="shared" ref="D68:D75" si="45">$D$66</f>
        <v>30162.2</v>
      </c>
      <c r="E68" s="560"/>
      <c r="F68" s="560"/>
      <c r="G68" s="560"/>
      <c r="H68" s="560"/>
      <c r="I68" s="560"/>
      <c r="J68" s="560"/>
      <c r="K68" s="560"/>
      <c r="L68" s="155">
        <f t="shared" ref="L68:L75" si="46">$L$66</f>
        <v>695.3599999999999</v>
      </c>
      <c r="M68" s="560">
        <v>1</v>
      </c>
      <c r="N68" s="560">
        <v>1</v>
      </c>
      <c r="O68" s="766">
        <v>0</v>
      </c>
      <c r="P68" s="155">
        <f t="shared" ref="P68:P75" si="47">ROUND(O68*103*247*50%,-2)</f>
        <v>0</v>
      </c>
      <c r="Q68" s="155">
        <f t="shared" ref="Q68:Q75" si="48">ROUND(ROUND((C68+D68+E68+F68+G68+H68+I68+J68+K68+L68)*M68*N68,2)*O68-P68,-2)</f>
        <v>0</v>
      </c>
      <c r="R68" s="189">
        <f>(B68+C68+D68+E68+F68+G68+H68+I68+J68+K68+L68-'Питание норматив'!$H$40)*M68*N68</f>
        <v>1711.5600000000013</v>
      </c>
      <c r="S68" s="186"/>
    </row>
    <row r="69" spans="1:19" ht="12.95" hidden="1" customHeight="1" outlineLevel="2" x14ac:dyDescent="0.2">
      <c r="A69" s="90" t="str">
        <f t="shared" si="44"/>
        <v>МАДОУ ЦРР-детский сад № 13</v>
      </c>
      <c r="B69" s="560"/>
      <c r="C69" s="560"/>
      <c r="D69" s="155">
        <f t="shared" si="45"/>
        <v>30162.2</v>
      </c>
      <c r="E69" s="560"/>
      <c r="F69" s="560"/>
      <c r="G69" s="560"/>
      <c r="H69" s="560"/>
      <c r="I69" s="560"/>
      <c r="J69" s="560"/>
      <c r="K69" s="560"/>
      <c r="L69" s="155">
        <f t="shared" si="46"/>
        <v>695.3599999999999</v>
      </c>
      <c r="M69" s="560">
        <v>1</v>
      </c>
      <c r="N69" s="560">
        <v>1</v>
      </c>
      <c r="O69" s="766">
        <v>0</v>
      </c>
      <c r="P69" s="155">
        <f t="shared" si="47"/>
        <v>0</v>
      </c>
      <c r="Q69" s="155">
        <f t="shared" si="48"/>
        <v>0</v>
      </c>
      <c r="R69" s="189">
        <f>(B69+C69+D69+E69+F69+G69+H69+I69+J69+K69+L69-'Питание норматив'!$H$40)*M69*N69</f>
        <v>1711.5600000000013</v>
      </c>
      <c r="S69" s="186"/>
    </row>
    <row r="70" spans="1:19" ht="30" hidden="1" customHeight="1" outlineLevel="2" x14ac:dyDescent="0.2">
      <c r="A70" s="90" t="str">
        <f t="shared" si="44"/>
        <v>МАОУ СОШ № 1 структурное подразделение</v>
      </c>
      <c r="B70" s="560"/>
      <c r="C70" s="560"/>
      <c r="D70" s="155">
        <f t="shared" si="45"/>
        <v>30162.2</v>
      </c>
      <c r="E70" s="560"/>
      <c r="F70" s="560"/>
      <c r="G70" s="560"/>
      <c r="H70" s="560"/>
      <c r="I70" s="560"/>
      <c r="J70" s="560"/>
      <c r="K70" s="560"/>
      <c r="L70" s="155">
        <f t="shared" si="46"/>
        <v>695.3599999999999</v>
      </c>
      <c r="M70" s="560">
        <v>1</v>
      </c>
      <c r="N70" s="560">
        <v>1</v>
      </c>
      <c r="O70" s="766">
        <v>1</v>
      </c>
      <c r="P70" s="155">
        <f t="shared" si="47"/>
        <v>12700</v>
      </c>
      <c r="Q70" s="155">
        <f t="shared" si="48"/>
        <v>18200</v>
      </c>
      <c r="R70" s="189">
        <f>(B70+C70+D70+E70+F70+G70+H70+I70+J70+K70+L70-'Питание норматив'!$H$40)*M70*N70</f>
        <v>1711.5600000000013</v>
      </c>
      <c r="S70" s="186"/>
    </row>
    <row r="71" spans="1:19" ht="31.15" hidden="1" customHeight="1" outlineLevel="2" x14ac:dyDescent="0.2">
      <c r="A71" s="90" t="str">
        <f t="shared" si="44"/>
        <v>МАОУ СОШ № 2 им.М.И.Грибушина структурное подразделение</v>
      </c>
      <c r="B71" s="560"/>
      <c r="C71" s="560"/>
      <c r="D71" s="155">
        <f t="shared" si="45"/>
        <v>30162.2</v>
      </c>
      <c r="E71" s="560"/>
      <c r="F71" s="560"/>
      <c r="G71" s="560"/>
      <c r="H71" s="560"/>
      <c r="I71" s="560"/>
      <c r="J71" s="560"/>
      <c r="K71" s="560"/>
      <c r="L71" s="155">
        <f t="shared" si="46"/>
        <v>695.3599999999999</v>
      </c>
      <c r="M71" s="560">
        <v>1</v>
      </c>
      <c r="N71" s="560">
        <v>1</v>
      </c>
      <c r="O71" s="766">
        <v>0</v>
      </c>
      <c r="P71" s="155">
        <f t="shared" si="47"/>
        <v>0</v>
      </c>
      <c r="Q71" s="155">
        <f t="shared" si="48"/>
        <v>0</v>
      </c>
      <c r="R71" s="189">
        <f>(B71+C71+D71+E71+F71+G71+H71+I71+J71+K71+L71-'Питание норматив'!$H$40)*M71*N71</f>
        <v>1711.5600000000013</v>
      </c>
      <c r="S71" s="186"/>
    </row>
    <row r="72" spans="1:19" ht="27" hidden="1" customHeight="1" outlineLevel="2" x14ac:dyDescent="0.2">
      <c r="A72" s="90" t="str">
        <f t="shared" si="44"/>
        <v>МАОУ СОШ № 10 структурное подразделение</v>
      </c>
      <c r="B72" s="560"/>
      <c r="C72" s="560"/>
      <c r="D72" s="155">
        <f t="shared" si="45"/>
        <v>30162.2</v>
      </c>
      <c r="E72" s="560"/>
      <c r="F72" s="560"/>
      <c r="G72" s="560"/>
      <c r="H72" s="560"/>
      <c r="I72" s="560"/>
      <c r="J72" s="560"/>
      <c r="K72" s="560"/>
      <c r="L72" s="155">
        <f t="shared" si="46"/>
        <v>695.3599999999999</v>
      </c>
      <c r="M72" s="560">
        <v>1</v>
      </c>
      <c r="N72" s="560">
        <v>1</v>
      </c>
      <c r="O72" s="766">
        <v>0</v>
      </c>
      <c r="P72" s="155">
        <f t="shared" si="47"/>
        <v>0</v>
      </c>
      <c r="Q72" s="155">
        <f t="shared" si="48"/>
        <v>0</v>
      </c>
      <c r="R72" s="189">
        <f>(B72+C72+D72+E72+F72+G72+H72+I72+J72+K72+L72-'Питание норматив'!$H$40)*M72*N72</f>
        <v>1711.5600000000013</v>
      </c>
      <c r="S72" s="186"/>
    </row>
    <row r="73" spans="1:19" ht="28.15" hidden="1" customHeight="1" outlineLevel="2" x14ac:dyDescent="0.2">
      <c r="A73" s="90" t="str">
        <f t="shared" si="44"/>
        <v>МАОУ СОШ № 13 структурное подразделение</v>
      </c>
      <c r="B73" s="560"/>
      <c r="C73" s="560"/>
      <c r="D73" s="155">
        <f t="shared" si="45"/>
        <v>30162.2</v>
      </c>
      <c r="E73" s="560"/>
      <c r="F73" s="560"/>
      <c r="G73" s="560"/>
      <c r="H73" s="560"/>
      <c r="I73" s="560"/>
      <c r="J73" s="560"/>
      <c r="K73" s="560"/>
      <c r="L73" s="155">
        <f t="shared" si="46"/>
        <v>695.3599999999999</v>
      </c>
      <c r="M73" s="560">
        <v>1</v>
      </c>
      <c r="N73" s="560">
        <v>1</v>
      </c>
      <c r="O73" s="766">
        <v>0</v>
      </c>
      <c r="P73" s="155">
        <f t="shared" si="47"/>
        <v>0</v>
      </c>
      <c r="Q73" s="155">
        <f t="shared" si="48"/>
        <v>0</v>
      </c>
      <c r="R73" s="189">
        <f>(B73+C73+D73+E73+F73+G73+H73+I73+J73+K73+L73-'Питание норматив'!$H$40)*M73*N73</f>
        <v>1711.5600000000013</v>
      </c>
      <c r="S73" s="186"/>
    </row>
    <row r="74" spans="1:19" ht="27.6" hidden="1" customHeight="1" outlineLevel="2" x14ac:dyDescent="0.2">
      <c r="A74" s="90" t="str">
        <f t="shared" si="44"/>
        <v>Гимназия № 16 структурное подразделение</v>
      </c>
      <c r="B74" s="560"/>
      <c r="C74" s="560"/>
      <c r="D74" s="155">
        <f t="shared" si="45"/>
        <v>30162.2</v>
      </c>
      <c r="E74" s="560"/>
      <c r="F74" s="560"/>
      <c r="G74" s="560"/>
      <c r="H74" s="560"/>
      <c r="I74" s="560"/>
      <c r="J74" s="560"/>
      <c r="K74" s="560"/>
      <c r="L74" s="155">
        <f t="shared" si="46"/>
        <v>695.3599999999999</v>
      </c>
      <c r="M74" s="560">
        <v>1</v>
      </c>
      <c r="N74" s="560">
        <v>1</v>
      </c>
      <c r="O74" s="766">
        <v>0</v>
      </c>
      <c r="P74" s="155">
        <f t="shared" si="47"/>
        <v>0</v>
      </c>
      <c r="Q74" s="155">
        <f t="shared" si="48"/>
        <v>0</v>
      </c>
      <c r="R74" s="189">
        <f>(B74+C74+D74+E74+F74+G74+H74+I74+J74+K74+L74-'Питание норматив'!$H$40)*M74*N74</f>
        <v>1711.5600000000013</v>
      </c>
      <c r="S74" s="186"/>
    </row>
    <row r="75" spans="1:19" ht="41.45" hidden="1" customHeight="1" outlineLevel="2" thickBot="1" x14ac:dyDescent="0.25">
      <c r="A75" s="90" t="str">
        <f t="shared" si="44"/>
        <v>МАОУ ООШ № 17 с кадетскими классами структурное подразделение</v>
      </c>
      <c r="B75" s="560"/>
      <c r="C75" s="560"/>
      <c r="D75" s="155">
        <f t="shared" si="45"/>
        <v>30162.2</v>
      </c>
      <c r="E75" s="560"/>
      <c r="F75" s="560"/>
      <c r="G75" s="560"/>
      <c r="H75" s="560"/>
      <c r="I75" s="560"/>
      <c r="J75" s="560"/>
      <c r="K75" s="560"/>
      <c r="L75" s="155">
        <f t="shared" si="46"/>
        <v>695.3599999999999</v>
      </c>
      <c r="M75" s="560">
        <v>1</v>
      </c>
      <c r="N75" s="560">
        <v>1</v>
      </c>
      <c r="O75" s="766">
        <v>0</v>
      </c>
      <c r="P75" s="155">
        <f t="shared" si="47"/>
        <v>0</v>
      </c>
      <c r="Q75" s="155">
        <f t="shared" si="48"/>
        <v>0</v>
      </c>
      <c r="R75" s="189">
        <f>(B75+C75+D75+E75+F75+G75+H75+I75+J75+K75+L75-'Питание норматив'!$H$40)*M75*N75</f>
        <v>1711.5600000000013</v>
      </c>
      <c r="S75" s="186"/>
    </row>
    <row r="76" spans="1:19" ht="54.75" hidden="1" customHeight="1" outlineLevel="1" collapsed="1" thickBot="1" x14ac:dyDescent="0.25">
      <c r="A76" s="406" t="s">
        <v>336</v>
      </c>
      <c r="B76" s="471" t="s">
        <v>349</v>
      </c>
      <c r="C76" s="175"/>
      <c r="D76" s="176">
        <f>'Общий 2021'!D12</f>
        <v>30162.2</v>
      </c>
      <c r="E76" s="176"/>
      <c r="F76" s="176"/>
      <c r="G76" s="176"/>
      <c r="H76" s="176"/>
      <c r="I76" s="176"/>
      <c r="J76" s="176"/>
      <c r="K76" s="176"/>
      <c r="L76" s="176">
        <f>'Общий 2021'!L12</f>
        <v>695.3599999999999</v>
      </c>
      <c r="M76" s="175"/>
      <c r="N76" s="175"/>
      <c r="O76" s="765">
        <f>SUM(O77:O85)</f>
        <v>1</v>
      </c>
      <c r="P76" s="176">
        <f>SUM(P77:P85)</f>
        <v>0</v>
      </c>
      <c r="Q76" s="176">
        <f>SUM(Q77:Q85)</f>
        <v>30900</v>
      </c>
      <c r="S76" s="787">
        <f>SUM(C76:L76)-'Общий 2021'!M14</f>
        <v>0</v>
      </c>
    </row>
    <row r="77" spans="1:19" ht="12.95" hidden="1" customHeight="1" outlineLevel="2" x14ac:dyDescent="0.2">
      <c r="A77" s="90" t="str">
        <f t="shared" ref="A77:A85" si="49">A57</f>
        <v>МАДОУ ЦРР-детский сад № 2</v>
      </c>
      <c r="B77" s="293"/>
      <c r="C77" s="293"/>
      <c r="D77" s="155">
        <f>$D$76</f>
        <v>30162.2</v>
      </c>
      <c r="E77" s="293"/>
      <c r="F77" s="293"/>
      <c r="G77" s="293"/>
      <c r="H77" s="293"/>
      <c r="I77" s="293"/>
      <c r="J77" s="293"/>
      <c r="K77" s="293"/>
      <c r="L77" s="155">
        <f>$L$76</f>
        <v>695.3599999999999</v>
      </c>
      <c r="M77" s="293">
        <v>1</v>
      </c>
      <c r="N77" s="293">
        <v>1</v>
      </c>
      <c r="O77" s="766">
        <v>0</v>
      </c>
      <c r="P77" s="155"/>
      <c r="Q77" s="155">
        <f>ROUND(ROUND((C77+D77+E77+F77+G77+H77+I77+J77+K77+L77)*M77*N77,2)*O77-P77,-2)</f>
        <v>0</v>
      </c>
      <c r="R77" s="189">
        <f>(B77+C77+D77+E77+F77+G77+H77+I77+J77+K77+L77)*M77*N77</f>
        <v>30857.56</v>
      </c>
    </row>
    <row r="78" spans="1:19" ht="12.95" hidden="1" customHeight="1" outlineLevel="2" x14ac:dyDescent="0.2">
      <c r="A78" s="90" t="str">
        <f t="shared" si="49"/>
        <v>МАДОУ ЦРР-детский сад № 11</v>
      </c>
      <c r="B78" s="293"/>
      <c r="C78" s="293"/>
      <c r="D78" s="155">
        <f t="shared" ref="D78:D85" si="50">$D$76</f>
        <v>30162.2</v>
      </c>
      <c r="E78" s="293"/>
      <c r="F78" s="293"/>
      <c r="G78" s="293"/>
      <c r="H78" s="293"/>
      <c r="I78" s="293"/>
      <c r="J78" s="293"/>
      <c r="K78" s="293"/>
      <c r="L78" s="155">
        <f t="shared" ref="L78:L85" si="51">$L$76</f>
        <v>695.3599999999999</v>
      </c>
      <c r="M78" s="293">
        <v>1</v>
      </c>
      <c r="N78" s="293">
        <v>1</v>
      </c>
      <c r="O78" s="766">
        <v>0</v>
      </c>
      <c r="P78" s="155"/>
      <c r="Q78" s="155">
        <f t="shared" ref="Q78:Q85" si="52">ROUND(ROUND((C78+D78+E78+F78+G78+H78+I78+J78+K78+L78)*M78*N78,2)*O78-P78,-2)</f>
        <v>0</v>
      </c>
      <c r="R78" s="189">
        <f t="shared" ref="R78:R85" si="53">(B78+C78+D78+E78+F78+G78+H78+I78+J78+K78+L78)*M78*N78</f>
        <v>30857.56</v>
      </c>
    </row>
    <row r="79" spans="1:19" ht="12.95" hidden="1" customHeight="1" outlineLevel="2" x14ac:dyDescent="0.2">
      <c r="A79" s="90" t="str">
        <f t="shared" si="49"/>
        <v>МАДОУ ЦРР-детский сад № 13</v>
      </c>
      <c r="B79" s="293"/>
      <c r="C79" s="293"/>
      <c r="D79" s="155">
        <f t="shared" si="50"/>
        <v>30162.2</v>
      </c>
      <c r="E79" s="293"/>
      <c r="F79" s="293"/>
      <c r="G79" s="293"/>
      <c r="H79" s="293"/>
      <c r="I79" s="293"/>
      <c r="J79" s="293"/>
      <c r="K79" s="293"/>
      <c r="L79" s="155">
        <f t="shared" si="51"/>
        <v>695.3599999999999</v>
      </c>
      <c r="M79" s="293">
        <v>1</v>
      </c>
      <c r="N79" s="293">
        <v>1</v>
      </c>
      <c r="O79" s="766">
        <v>1</v>
      </c>
      <c r="P79" s="155"/>
      <c r="Q79" s="155">
        <f t="shared" si="52"/>
        <v>30900</v>
      </c>
      <c r="R79" s="189">
        <f t="shared" si="53"/>
        <v>30857.56</v>
      </c>
    </row>
    <row r="80" spans="1:19" ht="27" hidden="1" customHeight="1" outlineLevel="2" x14ac:dyDescent="0.2">
      <c r="A80" s="90" t="str">
        <f t="shared" si="49"/>
        <v>МАОУ СОШ № 1 структурное подразделение</v>
      </c>
      <c r="B80" s="293"/>
      <c r="C80" s="293"/>
      <c r="D80" s="155">
        <f t="shared" si="50"/>
        <v>30162.2</v>
      </c>
      <c r="E80" s="293"/>
      <c r="F80" s="293"/>
      <c r="G80" s="293"/>
      <c r="H80" s="293"/>
      <c r="I80" s="293"/>
      <c r="J80" s="293"/>
      <c r="K80" s="293"/>
      <c r="L80" s="155">
        <f t="shared" si="51"/>
        <v>695.3599999999999</v>
      </c>
      <c r="M80" s="293">
        <v>1</v>
      </c>
      <c r="N80" s="293">
        <v>1</v>
      </c>
      <c r="O80" s="766">
        <v>0</v>
      </c>
      <c r="P80" s="155"/>
      <c r="Q80" s="155">
        <f t="shared" si="52"/>
        <v>0</v>
      </c>
      <c r="R80" s="189">
        <f t="shared" si="53"/>
        <v>30857.56</v>
      </c>
    </row>
    <row r="81" spans="1:20" ht="44.45" hidden="1" customHeight="1" outlineLevel="2" x14ac:dyDescent="0.2">
      <c r="A81" s="90" t="str">
        <f t="shared" si="49"/>
        <v>МАОУ СОШ № 2 им.М.И.Грибушина структурное подразделение</v>
      </c>
      <c r="B81" s="293"/>
      <c r="C81" s="293"/>
      <c r="D81" s="155">
        <f t="shared" si="50"/>
        <v>30162.2</v>
      </c>
      <c r="E81" s="293"/>
      <c r="F81" s="293"/>
      <c r="G81" s="293"/>
      <c r="H81" s="293"/>
      <c r="I81" s="293"/>
      <c r="J81" s="293"/>
      <c r="K81" s="293"/>
      <c r="L81" s="155">
        <f t="shared" si="51"/>
        <v>695.3599999999999</v>
      </c>
      <c r="M81" s="293">
        <v>1</v>
      </c>
      <c r="N81" s="293">
        <v>1</v>
      </c>
      <c r="O81" s="766">
        <v>0</v>
      </c>
      <c r="P81" s="155"/>
      <c r="Q81" s="155">
        <f t="shared" si="52"/>
        <v>0</v>
      </c>
      <c r="R81" s="189">
        <f t="shared" si="53"/>
        <v>30857.56</v>
      </c>
    </row>
    <row r="82" spans="1:20" ht="31.15" hidden="1" customHeight="1" outlineLevel="2" x14ac:dyDescent="0.2">
      <c r="A82" s="90" t="str">
        <f t="shared" si="49"/>
        <v>МАОУ СОШ № 10 структурное подразделение</v>
      </c>
      <c r="B82" s="293"/>
      <c r="C82" s="293"/>
      <c r="D82" s="155">
        <f t="shared" si="50"/>
        <v>30162.2</v>
      </c>
      <c r="E82" s="293"/>
      <c r="F82" s="293"/>
      <c r="G82" s="293"/>
      <c r="H82" s="293"/>
      <c r="I82" s="293"/>
      <c r="J82" s="293"/>
      <c r="K82" s="293"/>
      <c r="L82" s="155">
        <f t="shared" si="51"/>
        <v>695.3599999999999</v>
      </c>
      <c r="M82" s="293">
        <v>1</v>
      </c>
      <c r="N82" s="293">
        <v>1</v>
      </c>
      <c r="O82" s="766">
        <v>0</v>
      </c>
      <c r="P82" s="155"/>
      <c r="Q82" s="155">
        <f t="shared" si="52"/>
        <v>0</v>
      </c>
      <c r="R82" s="189">
        <f t="shared" si="53"/>
        <v>30857.56</v>
      </c>
    </row>
    <row r="83" spans="1:20" ht="29.45" hidden="1" customHeight="1" outlineLevel="2" x14ac:dyDescent="0.2">
      <c r="A83" s="90" t="str">
        <f t="shared" si="49"/>
        <v>МАОУ СОШ № 13 структурное подразделение</v>
      </c>
      <c r="B83" s="293"/>
      <c r="C83" s="293"/>
      <c r="D83" s="155">
        <f t="shared" si="50"/>
        <v>30162.2</v>
      </c>
      <c r="E83" s="293"/>
      <c r="F83" s="293"/>
      <c r="G83" s="293"/>
      <c r="H83" s="293"/>
      <c r="I83" s="293"/>
      <c r="J83" s="293"/>
      <c r="K83" s="293"/>
      <c r="L83" s="155">
        <f t="shared" si="51"/>
        <v>695.3599999999999</v>
      </c>
      <c r="M83" s="293">
        <v>1</v>
      </c>
      <c r="N83" s="293">
        <v>1</v>
      </c>
      <c r="O83" s="766">
        <v>0</v>
      </c>
      <c r="P83" s="155"/>
      <c r="Q83" s="155">
        <f t="shared" si="52"/>
        <v>0</v>
      </c>
      <c r="R83" s="189">
        <f t="shared" si="53"/>
        <v>30857.56</v>
      </c>
    </row>
    <row r="84" spans="1:20" ht="30.6" hidden="1" customHeight="1" outlineLevel="2" x14ac:dyDescent="0.2">
      <c r="A84" s="90" t="str">
        <f t="shared" si="49"/>
        <v>Гимназия № 16 структурное подразделение</v>
      </c>
      <c r="B84" s="293"/>
      <c r="C84" s="293"/>
      <c r="D84" s="155">
        <f t="shared" si="50"/>
        <v>30162.2</v>
      </c>
      <c r="E84" s="293"/>
      <c r="F84" s="293"/>
      <c r="G84" s="293"/>
      <c r="H84" s="293"/>
      <c r="I84" s="293"/>
      <c r="J84" s="293"/>
      <c r="K84" s="293"/>
      <c r="L84" s="155">
        <f t="shared" si="51"/>
        <v>695.3599999999999</v>
      </c>
      <c r="M84" s="293">
        <v>1</v>
      </c>
      <c r="N84" s="293">
        <v>1</v>
      </c>
      <c r="O84" s="766">
        <v>0</v>
      </c>
      <c r="P84" s="155"/>
      <c r="Q84" s="155">
        <f t="shared" si="52"/>
        <v>0</v>
      </c>
      <c r="R84" s="189">
        <f t="shared" si="53"/>
        <v>30857.56</v>
      </c>
    </row>
    <row r="85" spans="1:20" ht="42" hidden="1" customHeight="1" outlineLevel="2" thickBot="1" x14ac:dyDescent="0.25">
      <c r="A85" s="90" t="str">
        <f t="shared" si="49"/>
        <v>МАОУ ООШ № 17 с кадетскими классами структурное подразделение</v>
      </c>
      <c r="B85" s="293"/>
      <c r="C85" s="293"/>
      <c r="D85" s="155">
        <f t="shared" si="50"/>
        <v>30162.2</v>
      </c>
      <c r="E85" s="293"/>
      <c r="F85" s="293"/>
      <c r="G85" s="293"/>
      <c r="H85" s="293"/>
      <c r="I85" s="293"/>
      <c r="J85" s="293"/>
      <c r="K85" s="293"/>
      <c r="L85" s="155">
        <f t="shared" si="51"/>
        <v>695.3599999999999</v>
      </c>
      <c r="M85" s="293">
        <v>1</v>
      </c>
      <c r="N85" s="293">
        <v>1</v>
      </c>
      <c r="O85" s="766">
        <v>0</v>
      </c>
      <c r="P85" s="155"/>
      <c r="Q85" s="155">
        <f t="shared" si="52"/>
        <v>0</v>
      </c>
      <c r="R85" s="189">
        <f t="shared" si="53"/>
        <v>30857.56</v>
      </c>
    </row>
    <row r="86" spans="1:20" ht="39.75" hidden="1" customHeight="1" outlineLevel="1" collapsed="1" thickBot="1" x14ac:dyDescent="0.25">
      <c r="A86" s="406" t="s">
        <v>657</v>
      </c>
      <c r="B86" s="471" t="s">
        <v>658</v>
      </c>
      <c r="C86" s="175"/>
      <c r="D86" s="176">
        <f>'Общий 2021'!D15</f>
        <v>30162.2</v>
      </c>
      <c r="E86" s="176"/>
      <c r="F86" s="176"/>
      <c r="G86" s="176"/>
      <c r="H86" s="176"/>
      <c r="I86" s="176"/>
      <c r="J86" s="176"/>
      <c r="K86" s="176"/>
      <c r="L86" s="176">
        <f>'Общий 2021'!L15</f>
        <v>695.3599999999999</v>
      </c>
      <c r="M86" s="175"/>
      <c r="N86" s="175"/>
      <c r="O86" s="765">
        <f>SUM(O87:O95)</f>
        <v>2</v>
      </c>
      <c r="P86" s="176">
        <f>SUM(P87:P95)</f>
        <v>0</v>
      </c>
      <c r="Q86" s="176">
        <f>SUM(Q87:Q95)</f>
        <v>61800</v>
      </c>
      <c r="R86" s="186"/>
      <c r="S86" s="787">
        <f>SUM(C86:L86)-'Общий 2021'!M8</f>
        <v>20704.599999999999</v>
      </c>
      <c r="T86" s="170" t="s">
        <v>662</v>
      </c>
    </row>
    <row r="87" spans="1:20" ht="12.95" hidden="1" customHeight="1" outlineLevel="2" x14ac:dyDescent="0.2">
      <c r="A87" s="90" t="str">
        <f t="shared" ref="A87:A95" si="54">A97</f>
        <v>МАДОУ ЦРР-детский сад № 2</v>
      </c>
      <c r="B87" s="798"/>
      <c r="C87" s="798"/>
      <c r="D87" s="155">
        <f>D86</f>
        <v>30162.2</v>
      </c>
      <c r="E87" s="798"/>
      <c r="F87" s="798"/>
      <c r="G87" s="798"/>
      <c r="H87" s="798"/>
      <c r="I87" s="798"/>
      <c r="J87" s="798"/>
      <c r="K87" s="798"/>
      <c r="L87" s="155">
        <f>L86</f>
        <v>695.3599999999999</v>
      </c>
      <c r="M87" s="798">
        <v>1</v>
      </c>
      <c r="N87" s="798">
        <v>1</v>
      </c>
      <c r="O87" s="766"/>
      <c r="P87" s="155"/>
      <c r="Q87" s="155">
        <f>ROUND(ROUND((C87+D87+E87+F87+G87+H87+I87+J87+K87+L87)*M87*N87,2)*O87-P87,-2)</f>
        <v>0</v>
      </c>
      <c r="R87" s="189">
        <f>(B87+C87+D87+E87+F87+G87+H87+I87+J87+K87+L87)*M87*N87</f>
        <v>30857.56</v>
      </c>
    </row>
    <row r="88" spans="1:20" ht="12.95" hidden="1" customHeight="1" outlineLevel="2" x14ac:dyDescent="0.2">
      <c r="A88" s="90" t="str">
        <f t="shared" si="54"/>
        <v>МАДОУ ЦРР-детский сад № 11</v>
      </c>
      <c r="B88" s="798"/>
      <c r="C88" s="798"/>
      <c r="D88" s="155">
        <f t="shared" ref="D88:D95" si="55">D87</f>
        <v>30162.2</v>
      </c>
      <c r="E88" s="798"/>
      <c r="F88" s="798"/>
      <c r="G88" s="798"/>
      <c r="H88" s="798"/>
      <c r="I88" s="798"/>
      <c r="J88" s="798"/>
      <c r="K88" s="798"/>
      <c r="L88" s="155">
        <f t="shared" ref="L88:L95" si="56">L87</f>
        <v>695.3599999999999</v>
      </c>
      <c r="M88" s="798">
        <v>1</v>
      </c>
      <c r="N88" s="798">
        <v>1</v>
      </c>
      <c r="O88" s="766"/>
      <c r="P88" s="155"/>
      <c r="Q88" s="155">
        <f t="shared" ref="Q88:Q95" si="57">ROUND(ROUND((C88+D88+E88+F88+G88+H88+I88+J88+K88+L88)*M88*N88,2)*O88-P88,-2)</f>
        <v>0</v>
      </c>
      <c r="R88" s="189">
        <f t="shared" ref="R88:R95" si="58">(B88+C88+D88+E88+F88+G88+H88+I88+J88+K88+L88)*M88*N88</f>
        <v>30857.56</v>
      </c>
    </row>
    <row r="89" spans="1:20" ht="12.95" hidden="1" customHeight="1" outlineLevel="2" x14ac:dyDescent="0.2">
      <c r="A89" s="90" t="str">
        <f t="shared" si="54"/>
        <v>МАДОУ ЦРР-детский сад № 13</v>
      </c>
      <c r="B89" s="798"/>
      <c r="C89" s="798"/>
      <c r="D89" s="155">
        <f t="shared" si="55"/>
        <v>30162.2</v>
      </c>
      <c r="E89" s="798"/>
      <c r="F89" s="798"/>
      <c r="G89" s="798"/>
      <c r="H89" s="798"/>
      <c r="I89" s="798"/>
      <c r="J89" s="798"/>
      <c r="K89" s="798"/>
      <c r="L89" s="155">
        <f t="shared" si="56"/>
        <v>695.3599999999999</v>
      </c>
      <c r="M89" s="798">
        <v>1</v>
      </c>
      <c r="N89" s="798">
        <v>1</v>
      </c>
      <c r="O89" s="766">
        <v>1</v>
      </c>
      <c r="P89" s="155"/>
      <c r="Q89" s="155">
        <f t="shared" si="57"/>
        <v>30900</v>
      </c>
      <c r="R89" s="189">
        <f t="shared" si="58"/>
        <v>30857.56</v>
      </c>
    </row>
    <row r="90" spans="1:20" ht="31.15" hidden="1" customHeight="1" outlineLevel="2" x14ac:dyDescent="0.2">
      <c r="A90" s="90" t="str">
        <f t="shared" si="54"/>
        <v>МАОУ СОШ № 1 структурное подразделение</v>
      </c>
      <c r="B90" s="798"/>
      <c r="C90" s="798"/>
      <c r="D90" s="155">
        <f t="shared" si="55"/>
        <v>30162.2</v>
      </c>
      <c r="E90" s="798"/>
      <c r="F90" s="798"/>
      <c r="G90" s="798"/>
      <c r="H90" s="798"/>
      <c r="I90" s="798"/>
      <c r="J90" s="798"/>
      <c r="K90" s="798"/>
      <c r="L90" s="155">
        <f t="shared" si="56"/>
        <v>695.3599999999999</v>
      </c>
      <c r="M90" s="798">
        <v>1</v>
      </c>
      <c r="N90" s="798">
        <v>1</v>
      </c>
      <c r="O90" s="766"/>
      <c r="P90" s="155"/>
      <c r="Q90" s="155">
        <f t="shared" si="57"/>
        <v>0</v>
      </c>
      <c r="R90" s="189">
        <f t="shared" si="58"/>
        <v>30857.56</v>
      </c>
    </row>
    <row r="91" spans="1:20" ht="41.45" hidden="1" customHeight="1" outlineLevel="2" x14ac:dyDescent="0.2">
      <c r="A91" s="90" t="str">
        <f t="shared" si="54"/>
        <v>МАОУ СОШ № 2 им.М.И.Грибушина структурное подразделение</v>
      </c>
      <c r="B91" s="798"/>
      <c r="C91" s="798"/>
      <c r="D91" s="155">
        <f t="shared" si="55"/>
        <v>30162.2</v>
      </c>
      <c r="E91" s="798"/>
      <c r="F91" s="798"/>
      <c r="G91" s="798"/>
      <c r="H91" s="798"/>
      <c r="I91" s="798"/>
      <c r="J91" s="798"/>
      <c r="K91" s="798"/>
      <c r="L91" s="155">
        <f t="shared" si="56"/>
        <v>695.3599999999999</v>
      </c>
      <c r="M91" s="798">
        <v>1</v>
      </c>
      <c r="N91" s="798">
        <v>1</v>
      </c>
      <c r="O91" s="766"/>
      <c r="P91" s="155"/>
      <c r="Q91" s="155">
        <f t="shared" si="57"/>
        <v>0</v>
      </c>
      <c r="R91" s="189">
        <f t="shared" si="58"/>
        <v>30857.56</v>
      </c>
    </row>
    <row r="92" spans="1:20" ht="30.6" hidden="1" customHeight="1" outlineLevel="2" x14ac:dyDescent="0.2">
      <c r="A92" s="90" t="str">
        <f t="shared" si="54"/>
        <v>МАОУ СОШ № 10 структурное подразделение</v>
      </c>
      <c r="B92" s="798"/>
      <c r="C92" s="798"/>
      <c r="D92" s="155">
        <f t="shared" si="55"/>
        <v>30162.2</v>
      </c>
      <c r="E92" s="798"/>
      <c r="F92" s="798"/>
      <c r="G92" s="798"/>
      <c r="H92" s="798"/>
      <c r="I92" s="798"/>
      <c r="J92" s="798"/>
      <c r="K92" s="798"/>
      <c r="L92" s="155">
        <f t="shared" si="56"/>
        <v>695.3599999999999</v>
      </c>
      <c r="M92" s="798">
        <v>1</v>
      </c>
      <c r="N92" s="798">
        <v>1</v>
      </c>
      <c r="O92" s="766"/>
      <c r="P92" s="155"/>
      <c r="Q92" s="155">
        <f t="shared" si="57"/>
        <v>0</v>
      </c>
      <c r="R92" s="189">
        <f t="shared" si="58"/>
        <v>30857.56</v>
      </c>
    </row>
    <row r="93" spans="1:20" ht="27.6" hidden="1" customHeight="1" outlineLevel="2" x14ac:dyDescent="0.2">
      <c r="A93" s="90" t="str">
        <f t="shared" si="54"/>
        <v>МАОУ СОШ № 13 структурное подразделение</v>
      </c>
      <c r="B93" s="798"/>
      <c r="C93" s="798"/>
      <c r="D93" s="155">
        <f t="shared" si="55"/>
        <v>30162.2</v>
      </c>
      <c r="E93" s="798"/>
      <c r="F93" s="798"/>
      <c r="G93" s="798"/>
      <c r="H93" s="798"/>
      <c r="I93" s="798"/>
      <c r="J93" s="798"/>
      <c r="K93" s="798"/>
      <c r="L93" s="155">
        <f t="shared" si="56"/>
        <v>695.3599999999999</v>
      </c>
      <c r="M93" s="798">
        <v>1</v>
      </c>
      <c r="N93" s="798">
        <v>1</v>
      </c>
      <c r="O93" s="766"/>
      <c r="P93" s="155"/>
      <c r="Q93" s="155">
        <f t="shared" si="57"/>
        <v>0</v>
      </c>
      <c r="R93" s="189">
        <f t="shared" si="58"/>
        <v>30857.56</v>
      </c>
    </row>
    <row r="94" spans="1:20" ht="31.15" hidden="1" customHeight="1" outlineLevel="2" x14ac:dyDescent="0.2">
      <c r="A94" s="90" t="str">
        <f t="shared" si="54"/>
        <v>Гимназия № 16 структурное подразделение</v>
      </c>
      <c r="B94" s="798"/>
      <c r="C94" s="798"/>
      <c r="D94" s="155">
        <f t="shared" si="55"/>
        <v>30162.2</v>
      </c>
      <c r="E94" s="798"/>
      <c r="F94" s="798"/>
      <c r="G94" s="798"/>
      <c r="H94" s="798"/>
      <c r="I94" s="798"/>
      <c r="J94" s="798"/>
      <c r="K94" s="798"/>
      <c r="L94" s="155">
        <f t="shared" si="56"/>
        <v>695.3599999999999</v>
      </c>
      <c r="M94" s="798">
        <v>1</v>
      </c>
      <c r="N94" s="798">
        <v>1</v>
      </c>
      <c r="O94" s="766">
        <v>1</v>
      </c>
      <c r="P94" s="155"/>
      <c r="Q94" s="155">
        <f t="shared" si="57"/>
        <v>30900</v>
      </c>
      <c r="R94" s="189">
        <f t="shared" si="58"/>
        <v>30857.56</v>
      </c>
    </row>
    <row r="95" spans="1:20" ht="43.15" hidden="1" customHeight="1" outlineLevel="2" thickBot="1" x14ac:dyDescent="0.25">
      <c r="A95" s="90" t="str">
        <f t="shared" si="54"/>
        <v>МАОУ ООШ № 17 с кадетскими классами структурное подразделение</v>
      </c>
      <c r="B95" s="798"/>
      <c r="C95" s="798"/>
      <c r="D95" s="155">
        <f t="shared" si="55"/>
        <v>30162.2</v>
      </c>
      <c r="E95" s="798"/>
      <c r="F95" s="798"/>
      <c r="G95" s="798"/>
      <c r="H95" s="798"/>
      <c r="I95" s="798"/>
      <c r="J95" s="798"/>
      <c r="K95" s="798"/>
      <c r="L95" s="155">
        <f t="shared" si="56"/>
        <v>695.3599999999999</v>
      </c>
      <c r="M95" s="798">
        <v>1</v>
      </c>
      <c r="N95" s="798">
        <v>1</v>
      </c>
      <c r="O95" s="766"/>
      <c r="P95" s="155"/>
      <c r="Q95" s="155">
        <f t="shared" si="57"/>
        <v>0</v>
      </c>
      <c r="R95" s="189">
        <f t="shared" si="58"/>
        <v>30857.56</v>
      </c>
    </row>
    <row r="96" spans="1:20" ht="58.15" hidden="1" customHeight="1" outlineLevel="1" collapsed="1" thickBot="1" x14ac:dyDescent="0.25">
      <c r="A96" s="173" t="s">
        <v>192</v>
      </c>
      <c r="B96" s="471" t="s">
        <v>348</v>
      </c>
      <c r="C96" s="175"/>
      <c r="D96" s="176">
        <f>'Общий 2021'!D20</f>
        <v>35596.199999999997</v>
      </c>
      <c r="E96" s="176"/>
      <c r="F96" s="176"/>
      <c r="G96" s="176"/>
      <c r="H96" s="176"/>
      <c r="I96" s="176"/>
      <c r="J96" s="176"/>
      <c r="K96" s="176"/>
      <c r="L96" s="176">
        <f>'Общий 2021'!L20</f>
        <v>534.89</v>
      </c>
      <c r="M96" s="175"/>
      <c r="N96" s="175"/>
      <c r="O96" s="765">
        <f>SUM(O97:O105)</f>
        <v>1850</v>
      </c>
      <c r="P96" s="176">
        <f>SUM(P97:P105)</f>
        <v>56661900</v>
      </c>
      <c r="Q96" s="176">
        <f>SUM(Q97:Q105)</f>
        <v>10180600</v>
      </c>
      <c r="S96" s="787">
        <f>SUM(C96:L96)-'Общий 2021'!M16</f>
        <v>0</v>
      </c>
    </row>
    <row r="97" spans="1:19" ht="13.5" hidden="1" customHeight="1" outlineLevel="2" x14ac:dyDescent="0.2">
      <c r="A97" s="90" t="str">
        <f t="shared" ref="A97:A105" si="59">A77</f>
        <v>МАДОУ ЦРР-детский сад № 2</v>
      </c>
      <c r="B97" s="164"/>
      <c r="C97" s="164"/>
      <c r="D97" s="155">
        <f>$D$96</f>
        <v>35596.199999999997</v>
      </c>
      <c r="E97" s="164"/>
      <c r="F97" s="164"/>
      <c r="G97" s="164"/>
      <c r="H97" s="164"/>
      <c r="I97" s="164"/>
      <c r="J97" s="164"/>
      <c r="K97" s="164"/>
      <c r="L97" s="155">
        <f>$L$96</f>
        <v>534.89</v>
      </c>
      <c r="M97" s="164">
        <v>1</v>
      </c>
      <c r="N97" s="164">
        <v>1</v>
      </c>
      <c r="O97" s="766">
        <v>289</v>
      </c>
      <c r="P97" s="155">
        <f>ROUND(O97*124*247,-2)</f>
        <v>8851500</v>
      </c>
      <c r="Q97" s="155">
        <f>ROUND(ROUND((C97+D97+E97+F97+G97+H97+I97+J97+K97+L97)*M97*N97,2)*O97-P97,-2)</f>
        <v>1590400</v>
      </c>
      <c r="R97" s="189">
        <f>(B97+C97+D97+E97+F97+G97+H97+I97+J97+K97+L97-'Питание норматив'!$K$40)*M97*N97</f>
        <v>1551.0899999999965</v>
      </c>
    </row>
    <row r="98" spans="1:19" hidden="1" outlineLevel="2" x14ac:dyDescent="0.2">
      <c r="A98" s="90" t="str">
        <f t="shared" si="59"/>
        <v>МАДОУ ЦРР-детский сад № 11</v>
      </c>
      <c r="B98" s="164"/>
      <c r="C98" s="164"/>
      <c r="D98" s="155">
        <f t="shared" ref="D98:D105" si="60">$D$96</f>
        <v>35596.199999999997</v>
      </c>
      <c r="E98" s="164"/>
      <c r="F98" s="164"/>
      <c r="G98" s="164"/>
      <c r="H98" s="164"/>
      <c r="I98" s="164"/>
      <c r="J98" s="164"/>
      <c r="K98" s="164"/>
      <c r="L98" s="155">
        <f t="shared" ref="L98:L105" si="61">$L$96</f>
        <v>534.89</v>
      </c>
      <c r="M98" s="164">
        <v>1</v>
      </c>
      <c r="N98" s="164">
        <v>1</v>
      </c>
      <c r="O98" s="766">
        <v>275</v>
      </c>
      <c r="P98" s="155">
        <f t="shared" ref="P98:P105" si="62">ROUND(O98*124*247,-2)</f>
        <v>8422700</v>
      </c>
      <c r="Q98" s="155">
        <f t="shared" ref="Q98:Q105" si="63">ROUND(ROUND((C98+D98+E98+F98+G98+H98+I98+J98+K98+L98)*M98*N98,2)*O98-P98,-2)</f>
        <v>1513300</v>
      </c>
      <c r="R98" s="189">
        <f>(B98+C98+D98+E98+F98+G98+H98+I98+J98+K98+L98-'Питание норматив'!$K$40)*M98*N98</f>
        <v>1551.0899999999965</v>
      </c>
    </row>
    <row r="99" spans="1:19" hidden="1" outlineLevel="2" x14ac:dyDescent="0.2">
      <c r="A99" s="90" t="str">
        <f t="shared" si="59"/>
        <v>МАДОУ ЦРР-детский сад № 13</v>
      </c>
      <c r="B99" s="164"/>
      <c r="C99" s="164"/>
      <c r="D99" s="155">
        <f t="shared" si="60"/>
        <v>35596.199999999997</v>
      </c>
      <c r="E99" s="164"/>
      <c r="F99" s="164"/>
      <c r="G99" s="164"/>
      <c r="H99" s="164"/>
      <c r="I99" s="164"/>
      <c r="J99" s="164"/>
      <c r="K99" s="164"/>
      <c r="L99" s="155">
        <f t="shared" si="61"/>
        <v>534.89</v>
      </c>
      <c r="M99" s="164">
        <v>1</v>
      </c>
      <c r="N99" s="164">
        <v>1</v>
      </c>
      <c r="O99" s="766">
        <v>331</v>
      </c>
      <c r="P99" s="155">
        <f t="shared" si="62"/>
        <v>10137900</v>
      </c>
      <c r="Q99" s="155">
        <f t="shared" si="63"/>
        <v>1821500</v>
      </c>
      <c r="R99" s="189">
        <f>(B99+C99+D99+E99+F99+G99+H99+I99+J99+K99+L99-'Питание норматив'!$K$40)*M99*N99</f>
        <v>1551.0899999999965</v>
      </c>
    </row>
    <row r="100" spans="1:19" ht="29.45" hidden="1" customHeight="1" outlineLevel="2" x14ac:dyDescent="0.2">
      <c r="A100" s="90" t="str">
        <f t="shared" si="59"/>
        <v>МАОУ СОШ № 1 структурное подразделение</v>
      </c>
      <c r="B100" s="164"/>
      <c r="C100" s="164"/>
      <c r="D100" s="155">
        <f t="shared" si="60"/>
        <v>35596.199999999997</v>
      </c>
      <c r="E100" s="164"/>
      <c r="F100" s="164"/>
      <c r="G100" s="164"/>
      <c r="H100" s="164"/>
      <c r="I100" s="164"/>
      <c r="J100" s="164"/>
      <c r="K100" s="164"/>
      <c r="L100" s="155">
        <f t="shared" si="61"/>
        <v>534.89</v>
      </c>
      <c r="M100" s="164">
        <v>1</v>
      </c>
      <c r="N100" s="164">
        <v>1</v>
      </c>
      <c r="O100" s="766">
        <v>245</v>
      </c>
      <c r="P100" s="155">
        <f t="shared" si="62"/>
        <v>7503900</v>
      </c>
      <c r="Q100" s="155">
        <f t="shared" si="63"/>
        <v>1348200</v>
      </c>
      <c r="R100" s="189">
        <f>(B100+C100+D100+E100+F100+G100+H100+I100+J100+K100+L100-'Питание норматив'!$K$40)*M100*N100</f>
        <v>1551.0899999999965</v>
      </c>
    </row>
    <row r="101" spans="1:19" ht="45" hidden="1" customHeight="1" outlineLevel="2" x14ac:dyDescent="0.2">
      <c r="A101" s="90" t="str">
        <f t="shared" si="59"/>
        <v>МАОУ СОШ № 2 им.М.И.Грибушина структурное подразделение</v>
      </c>
      <c r="B101" s="164"/>
      <c r="C101" s="164"/>
      <c r="D101" s="155">
        <f t="shared" si="60"/>
        <v>35596.199999999997</v>
      </c>
      <c r="E101" s="164"/>
      <c r="F101" s="164"/>
      <c r="G101" s="164"/>
      <c r="H101" s="164"/>
      <c r="I101" s="164"/>
      <c r="J101" s="164"/>
      <c r="K101" s="164"/>
      <c r="L101" s="155">
        <f t="shared" si="61"/>
        <v>534.89</v>
      </c>
      <c r="M101" s="164">
        <v>1</v>
      </c>
      <c r="N101" s="164">
        <v>1</v>
      </c>
      <c r="O101" s="766">
        <v>153</v>
      </c>
      <c r="P101" s="155">
        <f t="shared" si="62"/>
        <v>4686100</v>
      </c>
      <c r="Q101" s="155">
        <f t="shared" si="63"/>
        <v>842000</v>
      </c>
      <c r="R101" s="189">
        <f>(B101+C101+D101+E101+F101+G101+H101+I101+J101+K101+L101-'Питание норматив'!$K$40)*M101*N101</f>
        <v>1551.0899999999965</v>
      </c>
    </row>
    <row r="102" spans="1:19" ht="30.6" hidden="1" customHeight="1" outlineLevel="2" x14ac:dyDescent="0.2">
      <c r="A102" s="90" t="str">
        <f t="shared" si="59"/>
        <v>МАОУ СОШ № 10 структурное подразделение</v>
      </c>
      <c r="B102" s="164"/>
      <c r="C102" s="164"/>
      <c r="D102" s="155">
        <f t="shared" si="60"/>
        <v>35596.199999999997</v>
      </c>
      <c r="E102" s="164"/>
      <c r="F102" s="164"/>
      <c r="G102" s="164"/>
      <c r="H102" s="164"/>
      <c r="I102" s="164"/>
      <c r="J102" s="164"/>
      <c r="K102" s="164"/>
      <c r="L102" s="155">
        <f t="shared" si="61"/>
        <v>534.89</v>
      </c>
      <c r="M102" s="164">
        <v>1</v>
      </c>
      <c r="N102" s="164">
        <v>1</v>
      </c>
      <c r="O102" s="766">
        <v>146</v>
      </c>
      <c r="P102" s="155">
        <f t="shared" si="62"/>
        <v>4471700</v>
      </c>
      <c r="Q102" s="155">
        <f t="shared" si="63"/>
        <v>803400</v>
      </c>
      <c r="R102" s="189">
        <f>(B102+C102+D102+E102+F102+G102+H102+I102+J102+K102+L102-'Питание норматив'!$K$40)*M102*N102</f>
        <v>1551.0899999999965</v>
      </c>
    </row>
    <row r="103" spans="1:19" ht="33" hidden="1" customHeight="1" outlineLevel="2" x14ac:dyDescent="0.2">
      <c r="A103" s="90" t="str">
        <f t="shared" si="59"/>
        <v>МАОУ СОШ № 13 структурное подразделение</v>
      </c>
      <c r="B103" s="164"/>
      <c r="C103" s="164"/>
      <c r="D103" s="155">
        <f t="shared" si="60"/>
        <v>35596.199999999997</v>
      </c>
      <c r="E103" s="164"/>
      <c r="F103" s="164"/>
      <c r="G103" s="164"/>
      <c r="H103" s="164"/>
      <c r="I103" s="164"/>
      <c r="J103" s="164"/>
      <c r="K103" s="164"/>
      <c r="L103" s="155">
        <f t="shared" si="61"/>
        <v>534.89</v>
      </c>
      <c r="M103" s="164">
        <v>1</v>
      </c>
      <c r="N103" s="164">
        <v>1</v>
      </c>
      <c r="O103" s="766">
        <v>99</v>
      </c>
      <c r="P103" s="155">
        <f t="shared" si="62"/>
        <v>3032200</v>
      </c>
      <c r="Q103" s="155">
        <f t="shared" si="63"/>
        <v>544800</v>
      </c>
      <c r="R103" s="189">
        <f>(B103+C103+D103+E103+F103+G103+H103+I103+J103+K103+L103-'Питание норматив'!$K$40)*M103*N103</f>
        <v>1551.0899999999965</v>
      </c>
    </row>
    <row r="104" spans="1:19" ht="30" hidden="1" customHeight="1" outlineLevel="2" x14ac:dyDescent="0.2">
      <c r="A104" s="90" t="str">
        <f t="shared" si="59"/>
        <v>Гимназия № 16 структурное подразделение</v>
      </c>
      <c r="B104" s="164"/>
      <c r="C104" s="164"/>
      <c r="D104" s="155">
        <f t="shared" si="60"/>
        <v>35596.199999999997</v>
      </c>
      <c r="E104" s="164"/>
      <c r="F104" s="164"/>
      <c r="G104" s="164"/>
      <c r="H104" s="164"/>
      <c r="I104" s="164"/>
      <c r="J104" s="164"/>
      <c r="K104" s="164"/>
      <c r="L104" s="155">
        <f t="shared" si="61"/>
        <v>534.89</v>
      </c>
      <c r="M104" s="164">
        <v>1</v>
      </c>
      <c r="N104" s="164">
        <v>1</v>
      </c>
      <c r="O104" s="766">
        <v>250</v>
      </c>
      <c r="P104" s="155">
        <f t="shared" si="62"/>
        <v>7657000</v>
      </c>
      <c r="Q104" s="155">
        <f t="shared" si="63"/>
        <v>1375800</v>
      </c>
      <c r="R104" s="189">
        <f>(B104+C104+D104+E104+F104+G104+H104+I104+J104+K104+L104-'Питание норматив'!$K$40)*M104*N104</f>
        <v>1551.0899999999965</v>
      </c>
    </row>
    <row r="105" spans="1:19" ht="48" hidden="1" customHeight="1" outlineLevel="2" thickBot="1" x14ac:dyDescent="0.25">
      <c r="A105" s="90" t="str">
        <f t="shared" si="59"/>
        <v>МАОУ ООШ № 17 с кадетскими классами структурное подразделение</v>
      </c>
      <c r="B105" s="164"/>
      <c r="C105" s="164"/>
      <c r="D105" s="155">
        <f t="shared" si="60"/>
        <v>35596.199999999997</v>
      </c>
      <c r="E105" s="164"/>
      <c r="F105" s="164"/>
      <c r="G105" s="164"/>
      <c r="H105" s="164"/>
      <c r="I105" s="164"/>
      <c r="J105" s="164"/>
      <c r="K105" s="164"/>
      <c r="L105" s="155">
        <f t="shared" si="61"/>
        <v>534.89</v>
      </c>
      <c r="M105" s="164">
        <v>1</v>
      </c>
      <c r="N105" s="164">
        <v>1</v>
      </c>
      <c r="O105" s="766">
        <v>62</v>
      </c>
      <c r="P105" s="155">
        <f t="shared" si="62"/>
        <v>1898900</v>
      </c>
      <c r="Q105" s="155">
        <f t="shared" si="63"/>
        <v>341200</v>
      </c>
      <c r="R105" s="189">
        <f>(B105+C105+D105+E105+F105+G105+H105+I105+J105+K105+L105-'Питание норматив'!$K$40)*M105*N105</f>
        <v>1551.0899999999965</v>
      </c>
    </row>
    <row r="106" spans="1:19" ht="55.9" hidden="1" customHeight="1" outlineLevel="1" collapsed="1" thickBot="1" x14ac:dyDescent="0.25">
      <c r="A106" s="173" t="s">
        <v>256</v>
      </c>
      <c r="B106" s="471" t="s">
        <v>356</v>
      </c>
      <c r="C106" s="175"/>
      <c r="D106" s="176">
        <f>'Общий 2021'!D16</f>
        <v>35596.199999999997</v>
      </c>
      <c r="E106" s="175"/>
      <c r="F106" s="175"/>
      <c r="G106" s="175"/>
      <c r="H106" s="175"/>
      <c r="I106" s="175"/>
      <c r="J106" s="175"/>
      <c r="K106" s="175"/>
      <c r="L106" s="176">
        <f>'Общий 2021'!L16</f>
        <v>534.89</v>
      </c>
      <c r="M106" s="175"/>
      <c r="N106" s="175"/>
      <c r="O106" s="765">
        <f>SUM(O107:O115)</f>
        <v>186</v>
      </c>
      <c r="P106" s="176">
        <f>SUM(P107:P115)</f>
        <v>2848500</v>
      </c>
      <c r="Q106" s="176">
        <f>SUM(Q107:Q115)</f>
        <v>3871800</v>
      </c>
      <c r="S106" s="787">
        <f>SUM(C106:L106)-'Общий 2021'!M17</f>
        <v>0</v>
      </c>
    </row>
    <row r="107" spans="1:19" ht="12.95" hidden="1" customHeight="1" outlineLevel="2" x14ac:dyDescent="0.2">
      <c r="A107" s="90" t="str">
        <f t="shared" ref="A107:A115" si="64">A97</f>
        <v>МАДОУ ЦРР-детский сад № 2</v>
      </c>
      <c r="B107" s="164"/>
      <c r="C107" s="164"/>
      <c r="D107" s="155">
        <f>$D$106</f>
        <v>35596.199999999997</v>
      </c>
      <c r="E107" s="164"/>
      <c r="F107" s="164"/>
      <c r="G107" s="164"/>
      <c r="H107" s="164"/>
      <c r="I107" s="164"/>
      <c r="J107" s="164"/>
      <c r="K107" s="164"/>
      <c r="L107" s="155">
        <f>$L$106</f>
        <v>534.89</v>
      </c>
      <c r="M107" s="164">
        <v>1</v>
      </c>
      <c r="N107" s="164">
        <v>1</v>
      </c>
      <c r="O107" s="766">
        <v>27</v>
      </c>
      <c r="P107" s="155">
        <f>ROUND(O107*124*247*50%,-2)</f>
        <v>413500</v>
      </c>
      <c r="Q107" s="155">
        <f>ROUND(ROUND((C107+D107+E107+F107+G107+H107+I107+J107+K107+L107)*M107*N107,2)*O107-P107,-2)</f>
        <v>562000</v>
      </c>
      <c r="R107" s="189">
        <f>(B107+C107+D107+E107+F107+G107+H107+I107+J107+K107+L107-'Питание норматив'!$K$40*50%)*M107*N107</f>
        <v>18841.089999999997</v>
      </c>
      <c r="S107" s="186"/>
    </row>
    <row r="108" spans="1:19" ht="12.95" hidden="1" customHeight="1" outlineLevel="2" x14ac:dyDescent="0.2">
      <c r="A108" s="90" t="str">
        <f t="shared" si="64"/>
        <v>МАДОУ ЦРР-детский сад № 11</v>
      </c>
      <c r="B108" s="164"/>
      <c r="C108" s="164"/>
      <c r="D108" s="155">
        <f t="shared" ref="D108:D115" si="65">$D$106</f>
        <v>35596.199999999997</v>
      </c>
      <c r="E108" s="164"/>
      <c r="F108" s="164"/>
      <c r="G108" s="164"/>
      <c r="H108" s="164"/>
      <c r="I108" s="164"/>
      <c r="J108" s="164"/>
      <c r="K108" s="164"/>
      <c r="L108" s="155">
        <f t="shared" ref="L108:L115" si="66">$L$106</f>
        <v>534.89</v>
      </c>
      <c r="M108" s="293">
        <v>1</v>
      </c>
      <c r="N108" s="164">
        <v>1</v>
      </c>
      <c r="O108" s="766">
        <v>33</v>
      </c>
      <c r="P108" s="155">
        <f t="shared" ref="P108:P115" si="67">ROUND(O108*124*247*50%,-2)</f>
        <v>505400</v>
      </c>
      <c r="Q108" s="155">
        <f t="shared" ref="Q108:Q115" si="68">ROUND(ROUND((C108+D108+E108+F108+G108+H108+I108+J108+K108+L108)*M108*N108,2)*O108-P108,-2)</f>
        <v>686900</v>
      </c>
      <c r="R108" s="189">
        <f>(B108+C108+D108+E108+F108+G108+H108+I108+J108+K108+L108-'Питание норматив'!$K$40*50%)*M108*N108</f>
        <v>18841.089999999997</v>
      </c>
      <c r="S108" s="186"/>
    </row>
    <row r="109" spans="1:19" ht="12.95" hidden="1" customHeight="1" outlineLevel="2" x14ac:dyDescent="0.2">
      <c r="A109" s="90" t="str">
        <f t="shared" si="64"/>
        <v>МАДОУ ЦРР-детский сад № 13</v>
      </c>
      <c r="B109" s="164"/>
      <c r="C109" s="164"/>
      <c r="D109" s="155">
        <f t="shared" si="65"/>
        <v>35596.199999999997</v>
      </c>
      <c r="E109" s="164"/>
      <c r="F109" s="164"/>
      <c r="G109" s="164"/>
      <c r="H109" s="164"/>
      <c r="I109" s="164"/>
      <c r="J109" s="164"/>
      <c r="K109" s="164"/>
      <c r="L109" s="155">
        <f t="shared" si="66"/>
        <v>534.89</v>
      </c>
      <c r="M109" s="293">
        <v>1</v>
      </c>
      <c r="N109" s="164">
        <v>1</v>
      </c>
      <c r="O109" s="766">
        <v>76</v>
      </c>
      <c r="P109" s="155">
        <f t="shared" si="67"/>
        <v>1163900</v>
      </c>
      <c r="Q109" s="155">
        <f t="shared" si="68"/>
        <v>1582100</v>
      </c>
      <c r="R109" s="189">
        <f>(B109+C109+D109+E109+F109+G109+H109+I109+J109+K109+L109-'Питание норматив'!$K$40*50%)*M109*N109</f>
        <v>18841.089999999997</v>
      </c>
      <c r="S109" s="186"/>
    </row>
    <row r="110" spans="1:19" ht="30" hidden="1" customHeight="1" outlineLevel="2" x14ac:dyDescent="0.2">
      <c r="A110" s="90" t="str">
        <f t="shared" si="64"/>
        <v>МАОУ СОШ № 1 структурное подразделение</v>
      </c>
      <c r="B110" s="164"/>
      <c r="C110" s="164"/>
      <c r="D110" s="155">
        <f t="shared" si="65"/>
        <v>35596.199999999997</v>
      </c>
      <c r="E110" s="164"/>
      <c r="F110" s="164"/>
      <c r="G110" s="164"/>
      <c r="H110" s="164"/>
      <c r="I110" s="164"/>
      <c r="J110" s="164"/>
      <c r="K110" s="164"/>
      <c r="L110" s="155">
        <f t="shared" si="66"/>
        <v>534.89</v>
      </c>
      <c r="M110" s="293">
        <v>1</v>
      </c>
      <c r="N110" s="164">
        <v>1</v>
      </c>
      <c r="O110" s="766">
        <v>14</v>
      </c>
      <c r="P110" s="155">
        <f t="shared" si="67"/>
        <v>214400</v>
      </c>
      <c r="Q110" s="155">
        <f t="shared" si="68"/>
        <v>291400</v>
      </c>
      <c r="R110" s="189">
        <f>(B110+C110+D110+E110+F110+G110+H110+I110+J110+K110+L110-'Питание норматив'!$K$40*50%)*M110*N110</f>
        <v>18841.089999999997</v>
      </c>
      <c r="S110" s="186"/>
    </row>
    <row r="111" spans="1:19" ht="43.15" hidden="1" customHeight="1" outlineLevel="2" x14ac:dyDescent="0.2">
      <c r="A111" s="90" t="str">
        <f t="shared" si="64"/>
        <v>МАОУ СОШ № 2 им.М.И.Грибушина структурное подразделение</v>
      </c>
      <c r="B111" s="164"/>
      <c r="C111" s="164"/>
      <c r="D111" s="155">
        <f t="shared" si="65"/>
        <v>35596.199999999997</v>
      </c>
      <c r="E111" s="164"/>
      <c r="F111" s="164"/>
      <c r="G111" s="164"/>
      <c r="H111" s="164"/>
      <c r="I111" s="164"/>
      <c r="J111" s="164"/>
      <c r="K111" s="164"/>
      <c r="L111" s="155">
        <f t="shared" si="66"/>
        <v>534.89</v>
      </c>
      <c r="M111" s="293">
        <v>1</v>
      </c>
      <c r="N111" s="164">
        <v>1</v>
      </c>
      <c r="O111" s="766">
        <v>12</v>
      </c>
      <c r="P111" s="155">
        <f t="shared" si="67"/>
        <v>183800</v>
      </c>
      <c r="Q111" s="155">
        <f t="shared" si="68"/>
        <v>249800</v>
      </c>
      <c r="R111" s="189">
        <f>(B111+C111+D111+E111+F111+G111+H111+I111+J111+K111+L111-'Питание норматив'!$K$40*50%)*M111*N111</f>
        <v>18841.089999999997</v>
      </c>
      <c r="S111" s="186"/>
    </row>
    <row r="112" spans="1:19" ht="30" hidden="1" customHeight="1" outlineLevel="2" x14ac:dyDescent="0.2">
      <c r="A112" s="90" t="str">
        <f t="shared" si="64"/>
        <v>МАОУ СОШ № 10 структурное подразделение</v>
      </c>
      <c r="B112" s="164"/>
      <c r="C112" s="164"/>
      <c r="D112" s="155">
        <f t="shared" si="65"/>
        <v>35596.199999999997</v>
      </c>
      <c r="E112" s="164"/>
      <c r="F112" s="164"/>
      <c r="G112" s="164"/>
      <c r="H112" s="164"/>
      <c r="I112" s="164"/>
      <c r="J112" s="164"/>
      <c r="K112" s="164"/>
      <c r="L112" s="155">
        <f t="shared" si="66"/>
        <v>534.89</v>
      </c>
      <c r="M112" s="293">
        <v>1</v>
      </c>
      <c r="N112" s="164">
        <v>1</v>
      </c>
      <c r="O112" s="766">
        <v>8</v>
      </c>
      <c r="P112" s="155">
        <f t="shared" si="67"/>
        <v>122500</v>
      </c>
      <c r="Q112" s="155">
        <f t="shared" si="68"/>
        <v>166500</v>
      </c>
      <c r="R112" s="189">
        <f>(B112+C112+D112+E112+F112+G112+H112+I112+J112+K112+L112-'Питание норматив'!$K$40*50%)*M112*N112</f>
        <v>18841.089999999997</v>
      </c>
      <c r="S112" s="186"/>
    </row>
    <row r="113" spans="1:19" ht="28.9" hidden="1" customHeight="1" outlineLevel="2" x14ac:dyDescent="0.2">
      <c r="A113" s="90" t="str">
        <f t="shared" si="64"/>
        <v>МАОУ СОШ № 13 структурное подразделение</v>
      </c>
      <c r="B113" s="164"/>
      <c r="C113" s="164"/>
      <c r="D113" s="155">
        <f t="shared" si="65"/>
        <v>35596.199999999997</v>
      </c>
      <c r="E113" s="164"/>
      <c r="F113" s="164"/>
      <c r="G113" s="164"/>
      <c r="H113" s="164"/>
      <c r="I113" s="164"/>
      <c r="J113" s="164"/>
      <c r="K113" s="164"/>
      <c r="L113" s="155">
        <f t="shared" si="66"/>
        <v>534.89</v>
      </c>
      <c r="M113" s="293">
        <v>1</v>
      </c>
      <c r="N113" s="164">
        <v>1</v>
      </c>
      <c r="O113" s="766">
        <v>5</v>
      </c>
      <c r="P113" s="155">
        <f t="shared" si="67"/>
        <v>76600</v>
      </c>
      <c r="Q113" s="155">
        <f t="shared" si="68"/>
        <v>104100</v>
      </c>
      <c r="R113" s="189">
        <f>(B113+C113+D113+E113+F113+G113+H113+I113+J113+K113+L113-'Питание норматив'!$K$40*50%)*M113*N113</f>
        <v>18841.089999999997</v>
      </c>
      <c r="S113" s="186"/>
    </row>
    <row r="114" spans="1:19" ht="29.45" hidden="1" customHeight="1" outlineLevel="2" x14ac:dyDescent="0.2">
      <c r="A114" s="90" t="str">
        <f t="shared" si="64"/>
        <v>Гимназия № 16 структурное подразделение</v>
      </c>
      <c r="B114" s="164"/>
      <c r="C114" s="164"/>
      <c r="D114" s="155">
        <f t="shared" si="65"/>
        <v>35596.199999999997</v>
      </c>
      <c r="E114" s="164"/>
      <c r="F114" s="164"/>
      <c r="G114" s="164"/>
      <c r="H114" s="164"/>
      <c r="I114" s="164"/>
      <c r="J114" s="164"/>
      <c r="K114" s="164"/>
      <c r="L114" s="155">
        <f t="shared" si="66"/>
        <v>534.89</v>
      </c>
      <c r="M114" s="293">
        <v>1</v>
      </c>
      <c r="N114" s="164">
        <v>1</v>
      </c>
      <c r="O114" s="766">
        <v>10</v>
      </c>
      <c r="P114" s="155">
        <f t="shared" si="67"/>
        <v>153100</v>
      </c>
      <c r="Q114" s="155">
        <f t="shared" si="68"/>
        <v>208200</v>
      </c>
      <c r="R114" s="189">
        <f>(B114+C114+D114+E114+F114+G114+H114+I114+J114+K114+L114-'Питание норматив'!$K$40*50%)*M114*N114</f>
        <v>18841.089999999997</v>
      </c>
      <c r="S114" s="186"/>
    </row>
    <row r="115" spans="1:19" ht="44.45" hidden="1" customHeight="1" outlineLevel="2" thickBot="1" x14ac:dyDescent="0.25">
      <c r="A115" s="90" t="str">
        <f t="shared" si="64"/>
        <v>МАОУ ООШ № 17 с кадетскими классами структурное подразделение</v>
      </c>
      <c r="B115" s="164"/>
      <c r="C115" s="164"/>
      <c r="D115" s="155">
        <f t="shared" si="65"/>
        <v>35596.199999999997</v>
      </c>
      <c r="E115" s="164"/>
      <c r="F115" s="164"/>
      <c r="G115" s="164"/>
      <c r="H115" s="164"/>
      <c r="I115" s="164"/>
      <c r="J115" s="164"/>
      <c r="K115" s="164"/>
      <c r="L115" s="155">
        <f t="shared" si="66"/>
        <v>534.89</v>
      </c>
      <c r="M115" s="293">
        <v>1</v>
      </c>
      <c r="N115" s="164">
        <v>1</v>
      </c>
      <c r="O115" s="766">
        <v>1</v>
      </c>
      <c r="P115" s="155">
        <f t="shared" si="67"/>
        <v>15300</v>
      </c>
      <c r="Q115" s="155">
        <f t="shared" si="68"/>
        <v>20800</v>
      </c>
      <c r="R115" s="189">
        <f>(B115+C115+D115+E115+F115+G115+H115+I115+J115+K115+L115-'Питание норматив'!$K$40*50%)*M115*N115</f>
        <v>18841.089999999997</v>
      </c>
      <c r="S115" s="186"/>
    </row>
    <row r="116" spans="1:19" ht="51.75" hidden="1" customHeight="1" outlineLevel="1" collapsed="1" thickBot="1" x14ac:dyDescent="0.25">
      <c r="A116" s="406" t="s">
        <v>193</v>
      </c>
      <c r="B116" s="471" t="s">
        <v>350</v>
      </c>
      <c r="C116" s="175"/>
      <c r="D116" s="176">
        <f>'Общий 2021'!D18</f>
        <v>35596.199999999997</v>
      </c>
      <c r="E116" s="176"/>
      <c r="F116" s="176"/>
      <c r="G116" s="176"/>
      <c r="H116" s="176"/>
      <c r="I116" s="176"/>
      <c r="J116" s="176"/>
      <c r="K116" s="176"/>
      <c r="L116" s="176">
        <f>'Общий 2021'!L18</f>
        <v>534.89</v>
      </c>
      <c r="M116" s="175"/>
      <c r="N116" s="175"/>
      <c r="O116" s="765">
        <f>SUM(O117:O125)</f>
        <v>24</v>
      </c>
      <c r="P116" s="176">
        <f>SUM(P117:P125)</f>
        <v>0</v>
      </c>
      <c r="Q116" s="176">
        <f>SUM(Q117:Q125)</f>
        <v>867000</v>
      </c>
      <c r="R116" s="186"/>
      <c r="S116" s="787">
        <f>SUM(C116:L116)-'Общий 2021'!M18</f>
        <v>0</v>
      </c>
    </row>
    <row r="117" spans="1:19" ht="12.95" hidden="1" customHeight="1" outlineLevel="2" x14ac:dyDescent="0.2">
      <c r="A117" s="90" t="str">
        <f t="shared" ref="A117:A125" si="69">A107</f>
        <v>МАДОУ ЦРР-детский сад № 2</v>
      </c>
      <c r="B117" s="164"/>
      <c r="C117" s="164"/>
      <c r="D117" s="155">
        <f>$D$116</f>
        <v>35596.199999999997</v>
      </c>
      <c r="E117" s="164"/>
      <c r="F117" s="164"/>
      <c r="G117" s="164"/>
      <c r="H117" s="164"/>
      <c r="I117" s="164"/>
      <c r="J117" s="164"/>
      <c r="K117" s="164"/>
      <c r="L117" s="155">
        <f>$L$116</f>
        <v>534.89</v>
      </c>
      <c r="M117" s="164">
        <v>1</v>
      </c>
      <c r="N117" s="164">
        <v>1</v>
      </c>
      <c r="O117" s="766">
        <v>4</v>
      </c>
      <c r="P117" s="155"/>
      <c r="Q117" s="155">
        <f>ROUND(ROUND((C117+D117+E117+F117+G117+H117+I117+J117+K117+L117)*M117*N117,2)*O117-P117,-2)</f>
        <v>144500</v>
      </c>
      <c r="R117" s="189">
        <f>(B117+C117+D117+E117+F117+G117+H117+I117+J117+K117+L117)*M117*N117</f>
        <v>36131.089999999997</v>
      </c>
    </row>
    <row r="118" spans="1:19" ht="12.95" hidden="1" customHeight="1" outlineLevel="2" x14ac:dyDescent="0.2">
      <c r="A118" s="90" t="str">
        <f t="shared" si="69"/>
        <v>МАДОУ ЦРР-детский сад № 11</v>
      </c>
      <c r="B118" s="164"/>
      <c r="C118" s="164"/>
      <c r="D118" s="155">
        <f t="shared" ref="D118:D125" si="70">$D$116</f>
        <v>35596.199999999997</v>
      </c>
      <c r="E118" s="164"/>
      <c r="F118" s="164"/>
      <c r="G118" s="164"/>
      <c r="H118" s="164"/>
      <c r="I118" s="164"/>
      <c r="J118" s="164"/>
      <c r="K118" s="164"/>
      <c r="L118" s="155">
        <f t="shared" ref="L118:L125" si="71">$L$116</f>
        <v>534.89</v>
      </c>
      <c r="M118" s="293">
        <v>1</v>
      </c>
      <c r="N118" s="164">
        <v>1</v>
      </c>
      <c r="O118" s="766">
        <v>4</v>
      </c>
      <c r="P118" s="155"/>
      <c r="Q118" s="155">
        <f t="shared" ref="Q118:Q125" si="72">ROUND(ROUND((C118+D118+E118+F118+G118+H118+I118+J118+K118+L118)*M118*N118,2)*O118-P118,-2)</f>
        <v>144500</v>
      </c>
      <c r="R118" s="189">
        <f t="shared" ref="R118:R125" si="73">(B118+C118+D118+E118+F118+G118+H118+I118+J118+K118+L118)*M118*N118</f>
        <v>36131.089999999997</v>
      </c>
    </row>
    <row r="119" spans="1:19" ht="12.95" hidden="1" customHeight="1" outlineLevel="2" x14ac:dyDescent="0.2">
      <c r="A119" s="90" t="str">
        <f t="shared" si="69"/>
        <v>МАДОУ ЦРР-детский сад № 13</v>
      </c>
      <c r="B119" s="164"/>
      <c r="C119" s="164"/>
      <c r="D119" s="155">
        <f t="shared" si="70"/>
        <v>35596.199999999997</v>
      </c>
      <c r="E119" s="164"/>
      <c r="F119" s="164"/>
      <c r="G119" s="164"/>
      <c r="H119" s="164"/>
      <c r="I119" s="164"/>
      <c r="J119" s="164"/>
      <c r="K119" s="164"/>
      <c r="L119" s="155">
        <f t="shared" si="71"/>
        <v>534.89</v>
      </c>
      <c r="M119" s="293">
        <v>1</v>
      </c>
      <c r="N119" s="164">
        <v>1</v>
      </c>
      <c r="O119" s="766">
        <v>1</v>
      </c>
      <c r="P119" s="155"/>
      <c r="Q119" s="155">
        <f t="shared" si="72"/>
        <v>36100</v>
      </c>
      <c r="R119" s="189">
        <f t="shared" si="73"/>
        <v>36131.089999999997</v>
      </c>
    </row>
    <row r="120" spans="1:19" ht="33.6" hidden="1" customHeight="1" outlineLevel="2" x14ac:dyDescent="0.2">
      <c r="A120" s="90" t="str">
        <f t="shared" si="69"/>
        <v>МАОУ СОШ № 1 структурное подразделение</v>
      </c>
      <c r="B120" s="164"/>
      <c r="C120" s="164"/>
      <c r="D120" s="155">
        <f t="shared" si="70"/>
        <v>35596.199999999997</v>
      </c>
      <c r="E120" s="164"/>
      <c r="F120" s="164"/>
      <c r="G120" s="164"/>
      <c r="H120" s="164"/>
      <c r="I120" s="164"/>
      <c r="J120" s="164"/>
      <c r="K120" s="164"/>
      <c r="L120" s="155">
        <f t="shared" si="71"/>
        <v>534.89</v>
      </c>
      <c r="M120" s="293">
        <v>1</v>
      </c>
      <c r="N120" s="164">
        <v>1</v>
      </c>
      <c r="O120" s="766">
        <v>1</v>
      </c>
      <c r="P120" s="155"/>
      <c r="Q120" s="155">
        <f>ROUND(ROUND((C120+D120+E120+F120+G120+H120+I120+J120+K120+L120)*M120*N120,2)*O120-P120,-2)</f>
        <v>36100</v>
      </c>
      <c r="R120" s="189">
        <f>(B120+C120+D120+E120+F120+G120+H120+I120+J120+K120+L120)*M120*N120</f>
        <v>36131.089999999997</v>
      </c>
    </row>
    <row r="121" spans="1:19" ht="44.45" hidden="1" customHeight="1" outlineLevel="2" x14ac:dyDescent="0.2">
      <c r="A121" s="90" t="str">
        <f t="shared" si="69"/>
        <v>МАОУ СОШ № 2 им.М.И.Грибушина структурное подразделение</v>
      </c>
      <c r="B121" s="164"/>
      <c r="C121" s="164"/>
      <c r="D121" s="155">
        <f t="shared" si="70"/>
        <v>35596.199999999997</v>
      </c>
      <c r="E121" s="164"/>
      <c r="F121" s="164"/>
      <c r="G121" s="164"/>
      <c r="H121" s="164"/>
      <c r="I121" s="164"/>
      <c r="J121" s="164"/>
      <c r="K121" s="164"/>
      <c r="L121" s="155">
        <f t="shared" si="71"/>
        <v>534.89</v>
      </c>
      <c r="M121" s="293">
        <v>1</v>
      </c>
      <c r="N121" s="164">
        <v>1</v>
      </c>
      <c r="O121" s="766">
        <v>4</v>
      </c>
      <c r="P121" s="155"/>
      <c r="Q121" s="155">
        <f t="shared" si="72"/>
        <v>144500</v>
      </c>
      <c r="R121" s="189">
        <f t="shared" si="73"/>
        <v>36131.089999999997</v>
      </c>
    </row>
    <row r="122" spans="1:19" ht="32.450000000000003" hidden="1" customHeight="1" outlineLevel="2" x14ac:dyDescent="0.2">
      <c r="A122" s="90" t="str">
        <f t="shared" si="69"/>
        <v>МАОУ СОШ № 10 структурное подразделение</v>
      </c>
      <c r="B122" s="164"/>
      <c r="C122" s="164"/>
      <c r="D122" s="155">
        <f t="shared" si="70"/>
        <v>35596.199999999997</v>
      </c>
      <c r="E122" s="164"/>
      <c r="F122" s="164"/>
      <c r="G122" s="164"/>
      <c r="H122" s="164"/>
      <c r="I122" s="164"/>
      <c r="J122" s="164"/>
      <c r="K122" s="164"/>
      <c r="L122" s="155">
        <f t="shared" si="71"/>
        <v>534.89</v>
      </c>
      <c r="M122" s="293">
        <v>1</v>
      </c>
      <c r="N122" s="164">
        <v>1</v>
      </c>
      <c r="O122" s="766">
        <v>1</v>
      </c>
      <c r="P122" s="155"/>
      <c r="Q122" s="155">
        <f t="shared" si="72"/>
        <v>36100</v>
      </c>
      <c r="R122" s="189">
        <f t="shared" si="73"/>
        <v>36131.089999999997</v>
      </c>
    </row>
    <row r="123" spans="1:19" ht="31.15" hidden="1" customHeight="1" outlineLevel="2" x14ac:dyDescent="0.2">
      <c r="A123" s="90" t="str">
        <f t="shared" si="69"/>
        <v>МАОУ СОШ № 13 структурное подразделение</v>
      </c>
      <c r="B123" s="164"/>
      <c r="C123" s="164"/>
      <c r="D123" s="155">
        <f t="shared" si="70"/>
        <v>35596.199999999997</v>
      </c>
      <c r="E123" s="164"/>
      <c r="F123" s="164"/>
      <c r="G123" s="164"/>
      <c r="H123" s="164"/>
      <c r="I123" s="164"/>
      <c r="J123" s="164"/>
      <c r="K123" s="164"/>
      <c r="L123" s="155">
        <f t="shared" si="71"/>
        <v>534.89</v>
      </c>
      <c r="M123" s="293">
        <v>1</v>
      </c>
      <c r="N123" s="164">
        <v>1</v>
      </c>
      <c r="O123" s="766">
        <v>3</v>
      </c>
      <c r="P123" s="155"/>
      <c r="Q123" s="155">
        <f t="shared" si="72"/>
        <v>108400</v>
      </c>
      <c r="R123" s="189">
        <f t="shared" si="73"/>
        <v>36131.089999999997</v>
      </c>
    </row>
    <row r="124" spans="1:19" ht="31.15" hidden="1" customHeight="1" outlineLevel="2" x14ac:dyDescent="0.2">
      <c r="A124" s="90" t="str">
        <f t="shared" si="69"/>
        <v>Гимназия № 16 структурное подразделение</v>
      </c>
      <c r="B124" s="164"/>
      <c r="C124" s="164"/>
      <c r="D124" s="155">
        <f t="shared" si="70"/>
        <v>35596.199999999997</v>
      </c>
      <c r="E124" s="164"/>
      <c r="F124" s="164"/>
      <c r="G124" s="164"/>
      <c r="H124" s="164"/>
      <c r="I124" s="164"/>
      <c r="J124" s="164"/>
      <c r="K124" s="164"/>
      <c r="L124" s="155">
        <f t="shared" si="71"/>
        <v>534.89</v>
      </c>
      <c r="M124" s="293">
        <v>1</v>
      </c>
      <c r="N124" s="293">
        <v>1</v>
      </c>
      <c r="O124" s="766">
        <v>5</v>
      </c>
      <c r="P124" s="155"/>
      <c r="Q124" s="155">
        <f t="shared" si="72"/>
        <v>180700</v>
      </c>
      <c r="R124" s="189">
        <f t="shared" si="73"/>
        <v>36131.089999999997</v>
      </c>
    </row>
    <row r="125" spans="1:19" ht="43.15" hidden="1" customHeight="1" outlineLevel="2" thickBot="1" x14ac:dyDescent="0.25">
      <c r="A125" s="90" t="str">
        <f t="shared" si="69"/>
        <v>МАОУ ООШ № 17 с кадетскими классами структурное подразделение</v>
      </c>
      <c r="B125" s="164"/>
      <c r="C125" s="164"/>
      <c r="D125" s="155">
        <f t="shared" si="70"/>
        <v>35596.199999999997</v>
      </c>
      <c r="E125" s="164"/>
      <c r="F125" s="164"/>
      <c r="G125" s="164"/>
      <c r="H125" s="164"/>
      <c r="I125" s="164"/>
      <c r="J125" s="164"/>
      <c r="K125" s="164"/>
      <c r="L125" s="155">
        <f t="shared" si="71"/>
        <v>534.89</v>
      </c>
      <c r="M125" s="293">
        <v>1</v>
      </c>
      <c r="N125" s="293">
        <v>1</v>
      </c>
      <c r="O125" s="766">
        <v>1</v>
      </c>
      <c r="P125" s="155"/>
      <c r="Q125" s="155">
        <f t="shared" si="72"/>
        <v>36100</v>
      </c>
      <c r="R125" s="189">
        <f t="shared" si="73"/>
        <v>36131.089999999997</v>
      </c>
    </row>
    <row r="126" spans="1:19" ht="39.75" hidden="1" customHeight="1" outlineLevel="1" collapsed="1" thickBot="1" x14ac:dyDescent="0.25">
      <c r="A126" s="406" t="s">
        <v>309</v>
      </c>
      <c r="B126" s="471" t="s">
        <v>351</v>
      </c>
      <c r="C126" s="175"/>
      <c r="D126" s="176">
        <f>'Общий 2021'!D19</f>
        <v>35596.199999999997</v>
      </c>
      <c r="E126" s="176"/>
      <c r="F126" s="176"/>
      <c r="G126" s="176"/>
      <c r="H126" s="176"/>
      <c r="I126" s="176"/>
      <c r="J126" s="176"/>
      <c r="K126" s="176"/>
      <c r="L126" s="176">
        <f>'Общий 2021'!L19</f>
        <v>534.89</v>
      </c>
      <c r="M126" s="175"/>
      <c r="N126" s="175"/>
      <c r="O126" s="765">
        <f>SUM(O127:O135)</f>
        <v>11</v>
      </c>
      <c r="P126" s="176">
        <f>SUM(P127:P135)</f>
        <v>0</v>
      </c>
      <c r="Q126" s="176">
        <f>SUM(Q127:Q135)</f>
        <v>397400</v>
      </c>
      <c r="R126" s="186"/>
      <c r="S126" s="787">
        <f>SUM(C126:L126)-'Общий 2021'!M19</f>
        <v>0</v>
      </c>
    </row>
    <row r="127" spans="1:19" ht="12.95" hidden="1" customHeight="1" outlineLevel="2" x14ac:dyDescent="0.2">
      <c r="A127" s="90" t="str">
        <f t="shared" ref="A127:A135" si="74">A107</f>
        <v>МАДОУ ЦРР-детский сад № 2</v>
      </c>
      <c r="B127" s="461"/>
      <c r="C127" s="461"/>
      <c r="D127" s="155">
        <f>$D$126</f>
        <v>35596.199999999997</v>
      </c>
      <c r="E127" s="461"/>
      <c r="F127" s="461"/>
      <c r="G127" s="461"/>
      <c r="H127" s="461"/>
      <c r="I127" s="461"/>
      <c r="J127" s="461"/>
      <c r="K127" s="461"/>
      <c r="L127" s="155">
        <f>$L$126</f>
        <v>534.89</v>
      </c>
      <c r="M127" s="461">
        <v>1</v>
      </c>
      <c r="N127" s="461">
        <v>1</v>
      </c>
      <c r="O127" s="766">
        <v>2</v>
      </c>
      <c r="P127" s="155"/>
      <c r="Q127" s="155">
        <f>ROUND(ROUND((C127+D127+E127+F127+G127+H127+I127+J127+K127+L127)*M127*N127,2)*O127-P127,-2)</f>
        <v>72300</v>
      </c>
      <c r="R127" s="189">
        <f>(B127+C127+D127+E127+F127+G127+H127+I127+J127+K127+L127)*M127*N127</f>
        <v>36131.089999999997</v>
      </c>
    </row>
    <row r="128" spans="1:19" ht="12.95" hidden="1" customHeight="1" outlineLevel="2" x14ac:dyDescent="0.2">
      <c r="A128" s="90" t="str">
        <f t="shared" si="74"/>
        <v>МАДОУ ЦРР-детский сад № 11</v>
      </c>
      <c r="B128" s="461"/>
      <c r="C128" s="461"/>
      <c r="D128" s="155">
        <f t="shared" ref="D128:D135" si="75">$D$126</f>
        <v>35596.199999999997</v>
      </c>
      <c r="E128" s="461"/>
      <c r="F128" s="461"/>
      <c r="G128" s="461"/>
      <c r="H128" s="461"/>
      <c r="I128" s="461"/>
      <c r="J128" s="461"/>
      <c r="K128" s="461"/>
      <c r="L128" s="155">
        <f t="shared" ref="L128:L135" si="76">$L$126</f>
        <v>534.89</v>
      </c>
      <c r="M128" s="461">
        <v>1</v>
      </c>
      <c r="N128" s="461">
        <v>1</v>
      </c>
      <c r="O128" s="766">
        <v>1</v>
      </c>
      <c r="P128" s="155"/>
      <c r="Q128" s="155">
        <f t="shared" ref="Q128:Q135" si="77">ROUND(ROUND((C128+D128+E128+F128+G128+H128+I128+J128+K128+L128)*M128*N128,2)*O128-P128,-2)</f>
        <v>36100</v>
      </c>
      <c r="R128" s="189">
        <f t="shared" ref="R128:R135" si="78">(B128+C128+D128+E128+F128+G128+H128+I128+J128+K128+L128)*M128*N128</f>
        <v>36131.089999999997</v>
      </c>
    </row>
    <row r="129" spans="1:19" ht="12.95" hidden="1" customHeight="1" outlineLevel="2" x14ac:dyDescent="0.2">
      <c r="A129" s="90" t="str">
        <f t="shared" si="74"/>
        <v>МАДОУ ЦРР-детский сад № 13</v>
      </c>
      <c r="B129" s="461"/>
      <c r="C129" s="461"/>
      <c r="D129" s="155">
        <f t="shared" si="75"/>
        <v>35596.199999999997</v>
      </c>
      <c r="E129" s="461"/>
      <c r="F129" s="461"/>
      <c r="G129" s="461"/>
      <c r="H129" s="461"/>
      <c r="I129" s="461"/>
      <c r="J129" s="461"/>
      <c r="K129" s="461"/>
      <c r="L129" s="155">
        <f t="shared" si="76"/>
        <v>534.89</v>
      </c>
      <c r="M129" s="461">
        <v>1</v>
      </c>
      <c r="N129" s="461">
        <v>1</v>
      </c>
      <c r="O129" s="766">
        <v>4</v>
      </c>
      <c r="P129" s="155"/>
      <c r="Q129" s="155">
        <f t="shared" si="77"/>
        <v>144500</v>
      </c>
      <c r="R129" s="189">
        <f t="shared" si="78"/>
        <v>36131.089999999997</v>
      </c>
    </row>
    <row r="130" spans="1:19" ht="31.15" hidden="1" customHeight="1" outlineLevel="2" x14ac:dyDescent="0.2">
      <c r="A130" s="90" t="str">
        <f t="shared" si="74"/>
        <v>МАОУ СОШ № 1 структурное подразделение</v>
      </c>
      <c r="B130" s="461"/>
      <c r="C130" s="461"/>
      <c r="D130" s="155">
        <f t="shared" si="75"/>
        <v>35596.199999999997</v>
      </c>
      <c r="E130" s="461"/>
      <c r="F130" s="461"/>
      <c r="G130" s="461"/>
      <c r="H130" s="461"/>
      <c r="I130" s="461"/>
      <c r="J130" s="461"/>
      <c r="K130" s="461"/>
      <c r="L130" s="155">
        <f t="shared" si="76"/>
        <v>534.89</v>
      </c>
      <c r="M130" s="461">
        <v>1</v>
      </c>
      <c r="N130" s="461">
        <v>1</v>
      </c>
      <c r="O130" s="766">
        <v>1</v>
      </c>
      <c r="P130" s="155"/>
      <c r="Q130" s="155">
        <f t="shared" si="77"/>
        <v>36100</v>
      </c>
      <c r="R130" s="189">
        <f t="shared" si="78"/>
        <v>36131.089999999997</v>
      </c>
    </row>
    <row r="131" spans="1:19" ht="41.45" hidden="1" customHeight="1" outlineLevel="2" x14ac:dyDescent="0.2">
      <c r="A131" s="90" t="str">
        <f t="shared" si="74"/>
        <v>МАОУ СОШ № 2 им.М.И.Грибушина структурное подразделение</v>
      </c>
      <c r="B131" s="461"/>
      <c r="C131" s="461"/>
      <c r="D131" s="155">
        <f t="shared" si="75"/>
        <v>35596.199999999997</v>
      </c>
      <c r="E131" s="461"/>
      <c r="F131" s="461"/>
      <c r="G131" s="461"/>
      <c r="H131" s="461"/>
      <c r="I131" s="461"/>
      <c r="J131" s="461"/>
      <c r="K131" s="461"/>
      <c r="L131" s="155">
        <f t="shared" si="76"/>
        <v>534.89</v>
      </c>
      <c r="M131" s="461">
        <v>1</v>
      </c>
      <c r="N131" s="461">
        <v>1</v>
      </c>
      <c r="O131" s="766">
        <v>0</v>
      </c>
      <c r="P131" s="155"/>
      <c r="Q131" s="155">
        <f t="shared" si="77"/>
        <v>0</v>
      </c>
      <c r="R131" s="189">
        <f t="shared" si="78"/>
        <v>36131.089999999997</v>
      </c>
    </row>
    <row r="132" spans="1:19" ht="30.6" hidden="1" customHeight="1" outlineLevel="2" x14ac:dyDescent="0.2">
      <c r="A132" s="90" t="str">
        <f t="shared" si="74"/>
        <v>МАОУ СОШ № 10 структурное подразделение</v>
      </c>
      <c r="B132" s="461"/>
      <c r="C132" s="461"/>
      <c r="D132" s="155">
        <f t="shared" si="75"/>
        <v>35596.199999999997</v>
      </c>
      <c r="E132" s="461"/>
      <c r="F132" s="461"/>
      <c r="G132" s="461"/>
      <c r="H132" s="461"/>
      <c r="I132" s="461"/>
      <c r="J132" s="461"/>
      <c r="K132" s="461"/>
      <c r="L132" s="155">
        <f t="shared" si="76"/>
        <v>534.89</v>
      </c>
      <c r="M132" s="461">
        <v>1</v>
      </c>
      <c r="N132" s="461">
        <v>1</v>
      </c>
      <c r="O132" s="766">
        <v>0</v>
      </c>
      <c r="P132" s="155"/>
      <c r="Q132" s="155">
        <f t="shared" si="77"/>
        <v>0</v>
      </c>
      <c r="R132" s="189">
        <f t="shared" si="78"/>
        <v>36131.089999999997</v>
      </c>
    </row>
    <row r="133" spans="1:19" ht="27.6" hidden="1" customHeight="1" outlineLevel="2" x14ac:dyDescent="0.2">
      <c r="A133" s="90" t="str">
        <f t="shared" si="74"/>
        <v>МАОУ СОШ № 13 структурное подразделение</v>
      </c>
      <c r="B133" s="461"/>
      <c r="C133" s="461"/>
      <c r="D133" s="155">
        <f t="shared" si="75"/>
        <v>35596.199999999997</v>
      </c>
      <c r="E133" s="461"/>
      <c r="F133" s="461"/>
      <c r="G133" s="461"/>
      <c r="H133" s="461"/>
      <c r="I133" s="461"/>
      <c r="J133" s="461"/>
      <c r="K133" s="461"/>
      <c r="L133" s="155">
        <f t="shared" si="76"/>
        <v>534.89</v>
      </c>
      <c r="M133" s="461">
        <v>1</v>
      </c>
      <c r="N133" s="461">
        <v>1</v>
      </c>
      <c r="O133" s="766">
        <v>0</v>
      </c>
      <c r="P133" s="155"/>
      <c r="Q133" s="155">
        <f t="shared" si="77"/>
        <v>0</v>
      </c>
      <c r="R133" s="189">
        <f t="shared" si="78"/>
        <v>36131.089999999997</v>
      </c>
    </row>
    <row r="134" spans="1:19" ht="31.15" hidden="1" customHeight="1" outlineLevel="2" x14ac:dyDescent="0.2">
      <c r="A134" s="90" t="str">
        <f t="shared" si="74"/>
        <v>Гимназия № 16 структурное подразделение</v>
      </c>
      <c r="B134" s="461"/>
      <c r="C134" s="461"/>
      <c r="D134" s="155">
        <f>$D$126</f>
        <v>35596.199999999997</v>
      </c>
      <c r="E134" s="461"/>
      <c r="F134" s="461"/>
      <c r="G134" s="461"/>
      <c r="H134" s="461"/>
      <c r="I134" s="461"/>
      <c r="J134" s="461"/>
      <c r="K134" s="461"/>
      <c r="L134" s="155">
        <f t="shared" si="76"/>
        <v>534.89</v>
      </c>
      <c r="M134" s="461">
        <v>1</v>
      </c>
      <c r="N134" s="461">
        <v>1</v>
      </c>
      <c r="O134" s="766">
        <v>2</v>
      </c>
      <c r="P134" s="155"/>
      <c r="Q134" s="155">
        <f t="shared" si="77"/>
        <v>72300</v>
      </c>
      <c r="R134" s="189">
        <f t="shared" si="78"/>
        <v>36131.089999999997</v>
      </c>
    </row>
    <row r="135" spans="1:19" ht="43.15" hidden="1" customHeight="1" outlineLevel="2" thickBot="1" x14ac:dyDescent="0.25">
      <c r="A135" s="90" t="str">
        <f t="shared" si="74"/>
        <v>МАОУ ООШ № 17 с кадетскими классами структурное подразделение</v>
      </c>
      <c r="B135" s="461"/>
      <c r="C135" s="461"/>
      <c r="D135" s="155">
        <f t="shared" si="75"/>
        <v>35596.199999999997</v>
      </c>
      <c r="E135" s="461"/>
      <c r="F135" s="461"/>
      <c r="G135" s="461"/>
      <c r="H135" s="461"/>
      <c r="I135" s="461"/>
      <c r="J135" s="461"/>
      <c r="K135" s="461"/>
      <c r="L135" s="155">
        <f t="shared" si="76"/>
        <v>534.89</v>
      </c>
      <c r="M135" s="461">
        <v>1</v>
      </c>
      <c r="N135" s="461">
        <v>1</v>
      </c>
      <c r="O135" s="766">
        <v>1</v>
      </c>
      <c r="P135" s="155"/>
      <c r="Q135" s="155">
        <f t="shared" si="77"/>
        <v>36100</v>
      </c>
      <c r="R135" s="189">
        <f t="shared" si="78"/>
        <v>36131.089999999997</v>
      </c>
    </row>
    <row r="136" spans="1:19" ht="42.6" hidden="1" customHeight="1" outlineLevel="1" collapsed="1" thickBot="1" x14ac:dyDescent="0.25">
      <c r="A136" s="173" t="s">
        <v>300</v>
      </c>
      <c r="B136" s="471" t="s">
        <v>352</v>
      </c>
      <c r="C136" s="175"/>
      <c r="D136" s="176">
        <f>'Общий 2021'!D17</f>
        <v>35596.199999999997</v>
      </c>
      <c r="E136" s="176"/>
      <c r="F136" s="176"/>
      <c r="G136" s="176"/>
      <c r="H136" s="176"/>
      <c r="I136" s="176"/>
      <c r="J136" s="176"/>
      <c r="K136" s="176"/>
      <c r="L136" s="176">
        <f>'Общий 2021'!L17</f>
        <v>534.89</v>
      </c>
      <c r="M136" s="175"/>
      <c r="N136" s="175"/>
      <c r="O136" s="765" t="e">
        <f>SUM(O137:O145)</f>
        <v>#REF!</v>
      </c>
      <c r="P136" s="176">
        <f>SUM(P137:P145)</f>
        <v>0</v>
      </c>
      <c r="Q136" s="176" t="e">
        <f>SUM(Q137:Q145)</f>
        <v>#REF!</v>
      </c>
      <c r="R136" s="186"/>
      <c r="S136" s="787">
        <f>SUM(C136:L136)-'Общий 2021'!M20</f>
        <v>0</v>
      </c>
    </row>
    <row r="137" spans="1:19" ht="12.95" hidden="1" customHeight="1" outlineLevel="2" x14ac:dyDescent="0.2">
      <c r="A137" s="90" t="str">
        <f t="shared" ref="A137:A145" si="79">A117</f>
        <v>МАДОУ ЦРР-детский сад № 2</v>
      </c>
      <c r="B137" s="293"/>
      <c r="C137" s="293"/>
      <c r="D137" s="155">
        <f>$D$136</f>
        <v>35596.199999999997</v>
      </c>
      <c r="E137" s="293"/>
      <c r="F137" s="293"/>
      <c r="G137" s="293"/>
      <c r="H137" s="293"/>
      <c r="I137" s="293"/>
      <c r="J137" s="293"/>
      <c r="K137" s="293"/>
      <c r="L137" s="155">
        <f>$L$136</f>
        <v>534.89</v>
      </c>
      <c r="M137" s="293">
        <v>1</v>
      </c>
      <c r="N137" s="293">
        <v>1</v>
      </c>
      <c r="O137" s="766" t="e">
        <f>Численность!#REF!</f>
        <v>#REF!</v>
      </c>
      <c r="P137" s="155"/>
      <c r="Q137" s="155" t="e">
        <f>ROUND(ROUND((C137+D137+E137+F137+G137+H137+I137+J137+K137+L137)*M137*N137,2)*O137-P137,-2)</f>
        <v>#REF!</v>
      </c>
      <c r="R137" s="189">
        <f>(B137+C137+D137+E137+F137+G137+H137+I137+J137+K137+L137)*M137*N137</f>
        <v>36131.089999999997</v>
      </c>
    </row>
    <row r="138" spans="1:19" ht="12.95" hidden="1" customHeight="1" outlineLevel="2" x14ac:dyDescent="0.2">
      <c r="A138" s="90" t="str">
        <f t="shared" si="79"/>
        <v>МАДОУ ЦРР-детский сад № 11</v>
      </c>
      <c r="B138" s="293"/>
      <c r="C138" s="293"/>
      <c r="D138" s="155">
        <f t="shared" ref="D138:D145" si="80">$D$136</f>
        <v>35596.199999999997</v>
      </c>
      <c r="E138" s="293"/>
      <c r="F138" s="293"/>
      <c r="G138" s="293"/>
      <c r="H138" s="293"/>
      <c r="I138" s="293"/>
      <c r="J138" s="293"/>
      <c r="K138" s="293"/>
      <c r="L138" s="155">
        <f t="shared" ref="L138:L145" si="81">$L$136</f>
        <v>534.89</v>
      </c>
      <c r="M138" s="293">
        <v>1</v>
      </c>
      <c r="N138" s="293">
        <v>1</v>
      </c>
      <c r="O138" s="766" t="e">
        <f>Численность!#REF!</f>
        <v>#REF!</v>
      </c>
      <c r="P138" s="155"/>
      <c r="Q138" s="155" t="e">
        <f t="shared" ref="Q138:Q145" si="82">ROUND(ROUND((C138+D138+E138+F138+G138+H138+I138+J138+K138+L138)*M138*N138,2)*O138-P138,-2)</f>
        <v>#REF!</v>
      </c>
      <c r="R138" s="189">
        <f t="shared" ref="R138:R145" si="83">(B138+C138+D138+E138+F138+G138+H138+I138+J138+K138+L138)*M138*N138</f>
        <v>36131.089999999997</v>
      </c>
    </row>
    <row r="139" spans="1:19" ht="12.95" hidden="1" customHeight="1" outlineLevel="2" x14ac:dyDescent="0.2">
      <c r="A139" s="90" t="str">
        <f t="shared" si="79"/>
        <v>МАДОУ ЦРР-детский сад № 13</v>
      </c>
      <c r="B139" s="293"/>
      <c r="C139" s="293"/>
      <c r="D139" s="155">
        <f t="shared" si="80"/>
        <v>35596.199999999997</v>
      </c>
      <c r="E139" s="293"/>
      <c r="F139" s="293"/>
      <c r="G139" s="293"/>
      <c r="H139" s="293"/>
      <c r="I139" s="293"/>
      <c r="J139" s="293"/>
      <c r="K139" s="293"/>
      <c r="L139" s="155">
        <f t="shared" si="81"/>
        <v>534.89</v>
      </c>
      <c r="M139" s="293">
        <v>1</v>
      </c>
      <c r="N139" s="293">
        <v>1</v>
      </c>
      <c r="O139" s="766" t="e">
        <f>Численность!#REF!</f>
        <v>#REF!</v>
      </c>
      <c r="P139" s="155"/>
      <c r="Q139" s="155" t="e">
        <f t="shared" si="82"/>
        <v>#REF!</v>
      </c>
      <c r="R139" s="189">
        <f t="shared" si="83"/>
        <v>36131.089999999997</v>
      </c>
    </row>
    <row r="140" spans="1:19" ht="28.15" hidden="1" customHeight="1" outlineLevel="2" x14ac:dyDescent="0.2">
      <c r="A140" s="90" t="str">
        <f t="shared" si="79"/>
        <v>МАОУ СОШ № 1 структурное подразделение</v>
      </c>
      <c r="B140" s="293"/>
      <c r="C140" s="293"/>
      <c r="D140" s="155">
        <f t="shared" si="80"/>
        <v>35596.199999999997</v>
      </c>
      <c r="E140" s="293"/>
      <c r="F140" s="293"/>
      <c r="G140" s="293"/>
      <c r="H140" s="293"/>
      <c r="I140" s="293"/>
      <c r="J140" s="293"/>
      <c r="K140" s="293"/>
      <c r="L140" s="155">
        <f t="shared" si="81"/>
        <v>534.89</v>
      </c>
      <c r="M140" s="293">
        <v>1</v>
      </c>
      <c r="N140" s="293">
        <v>1</v>
      </c>
      <c r="O140" s="766" t="e">
        <f>Численность!#REF!</f>
        <v>#REF!</v>
      </c>
      <c r="P140" s="155"/>
      <c r="Q140" s="155" t="e">
        <f>ROUND(ROUND((C140+D140+E140+F140+G140+H140+I140+J140+K140+L140)*M140*N140,2)*O140-P140,-2)</f>
        <v>#REF!</v>
      </c>
      <c r="R140" s="189">
        <f t="shared" si="83"/>
        <v>36131.089999999997</v>
      </c>
    </row>
    <row r="141" spans="1:19" ht="42" hidden="1" customHeight="1" outlineLevel="2" x14ac:dyDescent="0.2">
      <c r="A141" s="90" t="str">
        <f t="shared" si="79"/>
        <v>МАОУ СОШ № 2 им.М.И.Грибушина структурное подразделение</v>
      </c>
      <c r="B141" s="293"/>
      <c r="C141" s="293"/>
      <c r="D141" s="155">
        <f t="shared" si="80"/>
        <v>35596.199999999997</v>
      </c>
      <c r="E141" s="293"/>
      <c r="F141" s="293"/>
      <c r="G141" s="293"/>
      <c r="H141" s="293"/>
      <c r="I141" s="293"/>
      <c r="J141" s="293"/>
      <c r="K141" s="293"/>
      <c r="L141" s="155">
        <f t="shared" si="81"/>
        <v>534.89</v>
      </c>
      <c r="M141" s="293">
        <v>1</v>
      </c>
      <c r="N141" s="293">
        <v>1</v>
      </c>
      <c r="O141" s="766" t="e">
        <f>Численность!#REF!</f>
        <v>#REF!</v>
      </c>
      <c r="P141" s="155"/>
      <c r="Q141" s="155" t="e">
        <f t="shared" si="82"/>
        <v>#REF!</v>
      </c>
      <c r="R141" s="189">
        <f t="shared" si="83"/>
        <v>36131.089999999997</v>
      </c>
    </row>
    <row r="142" spans="1:19" ht="30" hidden="1" customHeight="1" outlineLevel="2" x14ac:dyDescent="0.2">
      <c r="A142" s="90" t="str">
        <f t="shared" si="79"/>
        <v>МАОУ СОШ № 10 структурное подразделение</v>
      </c>
      <c r="B142" s="293"/>
      <c r="C142" s="293"/>
      <c r="D142" s="155">
        <f t="shared" si="80"/>
        <v>35596.199999999997</v>
      </c>
      <c r="E142" s="293"/>
      <c r="F142" s="293"/>
      <c r="G142" s="293"/>
      <c r="H142" s="293"/>
      <c r="I142" s="293"/>
      <c r="J142" s="293"/>
      <c r="K142" s="293"/>
      <c r="L142" s="155">
        <f t="shared" si="81"/>
        <v>534.89</v>
      </c>
      <c r="M142" s="293">
        <v>1</v>
      </c>
      <c r="N142" s="293">
        <v>1</v>
      </c>
      <c r="O142" s="766" t="e">
        <f>Численность!#REF!</f>
        <v>#REF!</v>
      </c>
      <c r="P142" s="155"/>
      <c r="Q142" s="155" t="e">
        <f t="shared" si="82"/>
        <v>#REF!</v>
      </c>
      <c r="R142" s="189">
        <f t="shared" si="83"/>
        <v>36131.089999999997</v>
      </c>
    </row>
    <row r="143" spans="1:19" ht="31.9" hidden="1" customHeight="1" outlineLevel="2" x14ac:dyDescent="0.2">
      <c r="A143" s="90" t="str">
        <f t="shared" si="79"/>
        <v>МАОУ СОШ № 13 структурное подразделение</v>
      </c>
      <c r="B143" s="293"/>
      <c r="C143" s="293"/>
      <c r="D143" s="155">
        <f t="shared" si="80"/>
        <v>35596.199999999997</v>
      </c>
      <c r="E143" s="293"/>
      <c r="F143" s="293"/>
      <c r="G143" s="293"/>
      <c r="H143" s="293"/>
      <c r="I143" s="293"/>
      <c r="J143" s="293"/>
      <c r="K143" s="293"/>
      <c r="L143" s="155">
        <f t="shared" si="81"/>
        <v>534.89</v>
      </c>
      <c r="M143" s="293">
        <v>1</v>
      </c>
      <c r="N143" s="293">
        <v>1</v>
      </c>
      <c r="O143" s="766" t="e">
        <f>Численность!#REF!</f>
        <v>#REF!</v>
      </c>
      <c r="P143" s="155"/>
      <c r="Q143" s="155" t="e">
        <f t="shared" si="82"/>
        <v>#REF!</v>
      </c>
      <c r="R143" s="189">
        <f t="shared" si="83"/>
        <v>36131.089999999997</v>
      </c>
    </row>
    <row r="144" spans="1:19" ht="33" hidden="1" customHeight="1" outlineLevel="2" x14ac:dyDescent="0.2">
      <c r="A144" s="90" t="str">
        <f t="shared" si="79"/>
        <v>Гимназия № 16 структурное подразделение</v>
      </c>
      <c r="B144" s="293"/>
      <c r="C144" s="293"/>
      <c r="D144" s="155">
        <f t="shared" si="80"/>
        <v>35596.199999999997</v>
      </c>
      <c r="E144" s="293"/>
      <c r="F144" s="293"/>
      <c r="G144" s="293"/>
      <c r="H144" s="293"/>
      <c r="I144" s="293"/>
      <c r="J144" s="293"/>
      <c r="K144" s="293"/>
      <c r="L144" s="155">
        <f t="shared" si="81"/>
        <v>534.89</v>
      </c>
      <c r="M144" s="293">
        <v>1</v>
      </c>
      <c r="N144" s="293">
        <v>1</v>
      </c>
      <c r="O144" s="766" t="e">
        <f>Численность!#REF!</f>
        <v>#REF!</v>
      </c>
      <c r="P144" s="155"/>
      <c r="Q144" s="155" t="e">
        <f t="shared" si="82"/>
        <v>#REF!</v>
      </c>
      <c r="R144" s="189">
        <f t="shared" si="83"/>
        <v>36131.089999999997</v>
      </c>
    </row>
    <row r="145" spans="1:23" ht="46.9" hidden="1" customHeight="1" outlineLevel="2" x14ac:dyDescent="0.2">
      <c r="A145" s="90" t="str">
        <f t="shared" si="79"/>
        <v>МАОУ ООШ № 17 с кадетскими классами структурное подразделение</v>
      </c>
      <c r="B145" s="293"/>
      <c r="C145" s="293"/>
      <c r="D145" s="155">
        <f t="shared" si="80"/>
        <v>35596.199999999997</v>
      </c>
      <c r="E145" s="293"/>
      <c r="F145" s="293"/>
      <c r="G145" s="293"/>
      <c r="H145" s="293"/>
      <c r="I145" s="293"/>
      <c r="J145" s="293"/>
      <c r="K145" s="293"/>
      <c r="L145" s="155">
        <f t="shared" si="81"/>
        <v>534.89</v>
      </c>
      <c r="M145" s="293">
        <v>1</v>
      </c>
      <c r="N145" s="293">
        <v>1</v>
      </c>
      <c r="O145" s="766" t="e">
        <f>Численность!#REF!</f>
        <v>#REF!</v>
      </c>
      <c r="P145" s="155"/>
      <c r="Q145" s="155" t="e">
        <f t="shared" si="82"/>
        <v>#REF!</v>
      </c>
      <c r="R145" s="189">
        <f t="shared" si="83"/>
        <v>36131.089999999997</v>
      </c>
    </row>
    <row r="146" spans="1:23" hidden="1" outlineLevel="1" collapsed="1" x14ac:dyDescent="0.2">
      <c r="A146" s="177" t="s">
        <v>181</v>
      </c>
      <c r="B146" s="175"/>
      <c r="C146" s="175"/>
      <c r="D146" s="175"/>
      <c r="E146" s="175"/>
      <c r="F146" s="175"/>
      <c r="G146" s="175"/>
      <c r="H146" s="175"/>
      <c r="I146" s="175"/>
      <c r="J146" s="175"/>
      <c r="K146" s="175"/>
      <c r="L146" s="175"/>
      <c r="M146" s="175"/>
      <c r="N146" s="175"/>
      <c r="O146" s="768"/>
      <c r="P146" s="175"/>
      <c r="Q146" s="176">
        <f>SUM(Q147:Q155)</f>
        <v>4922000</v>
      </c>
      <c r="R146" s="189">
        <f>Q146-'Налоги 2021'!F15</f>
        <v>0</v>
      </c>
    </row>
    <row r="147" spans="1:23" ht="12.95" hidden="1" customHeight="1" outlineLevel="1" x14ac:dyDescent="0.2">
      <c r="A147" s="90" t="str">
        <f t="shared" ref="A147:A155" si="84">A117</f>
        <v>МАДОУ ЦРР-детский сад № 2</v>
      </c>
      <c r="B147" s="164"/>
      <c r="C147" s="164"/>
      <c r="D147" s="155"/>
      <c r="E147" s="164"/>
      <c r="F147" s="164"/>
      <c r="G147" s="164"/>
      <c r="H147" s="164"/>
      <c r="I147" s="164"/>
      <c r="J147" s="164"/>
      <c r="K147" s="164"/>
      <c r="L147" s="155"/>
      <c r="M147" s="164"/>
      <c r="N147" s="164"/>
      <c r="O147" s="741"/>
      <c r="P147" s="155"/>
      <c r="Q147" s="155">
        <f>ROUND('Налоги 2021'!F6,2)</f>
        <v>462000</v>
      </c>
      <c r="R147" s="186"/>
    </row>
    <row r="148" spans="1:23" ht="12.95" hidden="1" customHeight="1" outlineLevel="1" x14ac:dyDescent="0.2">
      <c r="A148" s="90" t="str">
        <f t="shared" si="84"/>
        <v>МАДОУ ЦРР-детский сад № 11</v>
      </c>
      <c r="B148" s="164"/>
      <c r="C148" s="164"/>
      <c r="D148" s="155"/>
      <c r="E148" s="164"/>
      <c r="F148" s="164"/>
      <c r="G148" s="164"/>
      <c r="H148" s="164"/>
      <c r="I148" s="164"/>
      <c r="J148" s="164"/>
      <c r="K148" s="164"/>
      <c r="L148" s="155"/>
      <c r="M148" s="164"/>
      <c r="N148" s="164"/>
      <c r="O148" s="741"/>
      <c r="P148" s="155"/>
      <c r="Q148" s="155">
        <f>ROUND('Налоги 2021'!F7,2)</f>
        <v>2734100</v>
      </c>
      <c r="R148" s="186"/>
    </row>
    <row r="149" spans="1:23" ht="12.95" hidden="1" customHeight="1" outlineLevel="1" x14ac:dyDescent="0.2">
      <c r="A149" s="90" t="str">
        <f t="shared" si="84"/>
        <v>МАДОУ ЦРР-детский сад № 13</v>
      </c>
      <c r="B149" s="164"/>
      <c r="C149" s="164"/>
      <c r="D149" s="155"/>
      <c r="E149" s="164"/>
      <c r="F149" s="164"/>
      <c r="G149" s="164"/>
      <c r="H149" s="164"/>
      <c r="I149" s="164"/>
      <c r="J149" s="164"/>
      <c r="K149" s="164"/>
      <c r="L149" s="155"/>
      <c r="M149" s="164"/>
      <c r="N149" s="164"/>
      <c r="O149" s="741"/>
      <c r="P149" s="155"/>
      <c r="Q149" s="155">
        <f>ROUND('Налоги 2021'!F8,2)</f>
        <v>349000</v>
      </c>
      <c r="R149" s="186"/>
    </row>
    <row r="150" spans="1:23" ht="28.9" hidden="1" customHeight="1" outlineLevel="1" x14ac:dyDescent="0.2">
      <c r="A150" s="90" t="str">
        <f t="shared" si="84"/>
        <v>МАОУ СОШ № 1 структурное подразделение</v>
      </c>
      <c r="B150" s="164"/>
      <c r="C150" s="164"/>
      <c r="D150" s="155"/>
      <c r="E150" s="164"/>
      <c r="F150" s="164"/>
      <c r="G150" s="164"/>
      <c r="H150" s="164"/>
      <c r="I150" s="164"/>
      <c r="J150" s="164"/>
      <c r="K150" s="164"/>
      <c r="L150" s="155"/>
      <c r="M150" s="164"/>
      <c r="N150" s="164"/>
      <c r="O150" s="741"/>
      <c r="P150" s="155"/>
      <c r="Q150" s="155">
        <f>ROUND('Налоги 2021'!F9,2)</f>
        <v>324300</v>
      </c>
      <c r="R150" s="186"/>
    </row>
    <row r="151" spans="1:23" ht="40.9" hidden="1" customHeight="1" outlineLevel="1" x14ac:dyDescent="0.2">
      <c r="A151" s="90" t="str">
        <f t="shared" si="84"/>
        <v>МАОУ СОШ № 2 им.М.И.Грибушина структурное подразделение</v>
      </c>
      <c r="B151" s="164"/>
      <c r="C151" s="164"/>
      <c r="D151" s="155"/>
      <c r="E151" s="164"/>
      <c r="F151" s="164"/>
      <c r="G151" s="164"/>
      <c r="H151" s="164"/>
      <c r="I151" s="164"/>
      <c r="J151" s="164"/>
      <c r="K151" s="164"/>
      <c r="L151" s="155"/>
      <c r="M151" s="164"/>
      <c r="N151" s="164"/>
      <c r="O151" s="741"/>
      <c r="P151" s="155"/>
      <c r="Q151" s="155">
        <f>ROUND('Налоги 2021'!F10,2)</f>
        <v>210900</v>
      </c>
      <c r="R151" s="186"/>
    </row>
    <row r="152" spans="1:23" ht="28.15" hidden="1" customHeight="1" outlineLevel="1" x14ac:dyDescent="0.2">
      <c r="A152" s="90" t="str">
        <f t="shared" si="84"/>
        <v>МАОУ СОШ № 10 структурное подразделение</v>
      </c>
      <c r="B152" s="164"/>
      <c r="C152" s="164"/>
      <c r="D152" s="155"/>
      <c r="E152" s="164"/>
      <c r="F152" s="164"/>
      <c r="G152" s="164"/>
      <c r="H152" s="164"/>
      <c r="I152" s="164"/>
      <c r="J152" s="164"/>
      <c r="K152" s="164"/>
      <c r="L152" s="155"/>
      <c r="M152" s="164"/>
      <c r="N152" s="164"/>
      <c r="O152" s="741"/>
      <c r="P152" s="155"/>
      <c r="Q152" s="155">
        <f>ROUND('Налоги 2021'!F11,2)</f>
        <v>140700</v>
      </c>
      <c r="R152" s="186"/>
    </row>
    <row r="153" spans="1:23" ht="27" hidden="1" customHeight="1" outlineLevel="1" x14ac:dyDescent="0.2">
      <c r="A153" s="90" t="str">
        <f t="shared" si="84"/>
        <v>МАОУ СОШ № 13 структурное подразделение</v>
      </c>
      <c r="B153" s="164"/>
      <c r="C153" s="164"/>
      <c r="D153" s="155"/>
      <c r="E153" s="164"/>
      <c r="F153" s="164"/>
      <c r="G153" s="164"/>
      <c r="H153" s="164"/>
      <c r="I153" s="164"/>
      <c r="J153" s="164"/>
      <c r="K153" s="164"/>
      <c r="L153" s="155"/>
      <c r="M153" s="164"/>
      <c r="N153" s="164"/>
      <c r="O153" s="769"/>
      <c r="P153" s="155"/>
      <c r="Q153" s="155">
        <f>ROUND('Налоги 2021'!F12,2)</f>
        <v>376900</v>
      </c>
      <c r="R153" s="186"/>
    </row>
    <row r="154" spans="1:23" ht="30" hidden="1" customHeight="1" outlineLevel="1" x14ac:dyDescent="0.2">
      <c r="A154" s="90" t="str">
        <f t="shared" si="84"/>
        <v>Гимназия № 16 структурное подразделение</v>
      </c>
      <c r="B154" s="164"/>
      <c r="C154" s="164"/>
      <c r="D154" s="155"/>
      <c r="E154" s="164"/>
      <c r="F154" s="164"/>
      <c r="G154" s="164"/>
      <c r="H154" s="164"/>
      <c r="I154" s="164"/>
      <c r="J154" s="164"/>
      <c r="K154" s="164"/>
      <c r="L154" s="155"/>
      <c r="M154" s="164"/>
      <c r="N154" s="164"/>
      <c r="O154" s="741"/>
      <c r="P154" s="155"/>
      <c r="Q154" s="155">
        <f>ROUND('Налоги 2021'!F13,2)</f>
        <v>286100</v>
      </c>
      <c r="R154" s="186"/>
    </row>
    <row r="155" spans="1:23" ht="42" hidden="1" customHeight="1" outlineLevel="1" x14ac:dyDescent="0.2">
      <c r="A155" s="90" t="str">
        <f t="shared" si="84"/>
        <v>МАОУ ООШ № 17 с кадетскими классами структурное подразделение</v>
      </c>
      <c r="B155" s="164"/>
      <c r="C155" s="164"/>
      <c r="D155" s="155"/>
      <c r="E155" s="164"/>
      <c r="F155" s="164"/>
      <c r="G155" s="164"/>
      <c r="H155" s="164"/>
      <c r="I155" s="164"/>
      <c r="J155" s="164"/>
      <c r="K155" s="164"/>
      <c r="L155" s="155"/>
      <c r="M155" s="164"/>
      <c r="N155" s="164"/>
      <c r="O155" s="741"/>
      <c r="P155" s="155"/>
      <c r="Q155" s="155">
        <f>ROUND('Налоги 2021'!F14,2)</f>
        <v>38000</v>
      </c>
      <c r="R155" s="186"/>
    </row>
    <row r="156" spans="1:23" ht="34.9" customHeight="1" collapsed="1" x14ac:dyDescent="0.2">
      <c r="A156" s="183" t="s">
        <v>247</v>
      </c>
      <c r="B156" s="169"/>
      <c r="C156" s="169"/>
      <c r="D156" s="169"/>
      <c r="E156" s="169"/>
      <c r="F156" s="169"/>
      <c r="G156" s="169"/>
      <c r="H156" s="169"/>
      <c r="I156" s="169"/>
      <c r="J156" s="169"/>
      <c r="K156" s="169"/>
      <c r="L156" s="169"/>
      <c r="M156" s="169"/>
      <c r="N156" s="169"/>
      <c r="O156" s="770"/>
      <c r="P156" s="184">
        <f>SUM(P157:P165)</f>
        <v>72218300</v>
      </c>
      <c r="Q156" s="184" t="e">
        <f>SUM(Q157:Q165)</f>
        <v>#REF!</v>
      </c>
      <c r="R156" s="186" t="e">
        <f>Q6+Q16+Q26+Q36+Q46+Q56+Q66+Q76+Q96+Q106+Q116+Q86+Q126+Q136+Q146</f>
        <v>#REF!</v>
      </c>
      <c r="S156" s="186" t="e">
        <f>Q156-R156</f>
        <v>#REF!</v>
      </c>
      <c r="U156" s="186" t="e">
        <f>O56+O66+O76+O96+O106+O116+O86+O126+O136</f>
        <v>#REF!</v>
      </c>
      <c r="V156" s="186" t="e">
        <f>U156+T46</f>
        <v>#REF!</v>
      </c>
      <c r="W156" s="170" t="s">
        <v>661</v>
      </c>
    </row>
    <row r="157" spans="1:23" ht="12.95" customHeight="1" x14ac:dyDescent="0.2">
      <c r="A157" s="90" t="str">
        <f t="shared" ref="A157:A165" si="85">A147</f>
        <v>МАДОУ ЦРР-детский сад № 2</v>
      </c>
      <c r="B157" s="164"/>
      <c r="C157" s="164"/>
      <c r="D157" s="155"/>
      <c r="E157" s="164"/>
      <c r="F157" s="164"/>
      <c r="G157" s="164"/>
      <c r="H157" s="164"/>
      <c r="I157" s="164"/>
      <c r="J157" s="164"/>
      <c r="K157" s="164"/>
      <c r="L157" s="155"/>
      <c r="M157" s="164"/>
      <c r="N157" s="164"/>
      <c r="O157" s="766" t="e">
        <f>O7+O17+O27+O37+O47+O57+O67+O77+O97+O107+O117+O127+O137</f>
        <v>#REF!</v>
      </c>
      <c r="P157" s="155">
        <f t="shared" ref="P157:P165" si="86">ROUND(P7+P17+P27+P37+P47+P57+P67+P77+P97+P107+P117+P127+P137+P147,-2)</f>
        <v>10613400</v>
      </c>
      <c r="Q157" s="155" t="e">
        <f>Q7+Q17+Q27+Q37+Q47+Q57+Q67+Q77+Q97+Q107+Q117+Q87+Q127+Q137+Q147</f>
        <v>#REF!</v>
      </c>
      <c r="R157" s="186" t="s">
        <v>664</v>
      </c>
      <c r="S157" s="186" t="e">
        <f>Q156-48680100</f>
        <v>#REF!</v>
      </c>
    </row>
    <row r="158" spans="1:23" ht="12.95" customHeight="1" x14ac:dyDescent="0.2">
      <c r="A158" s="90" t="str">
        <f t="shared" si="85"/>
        <v>МАДОУ ЦРР-детский сад № 11</v>
      </c>
      <c r="B158" s="164"/>
      <c r="C158" s="164"/>
      <c r="D158" s="155"/>
      <c r="E158" s="164"/>
      <c r="F158" s="164"/>
      <c r="G158" s="164"/>
      <c r="H158" s="164"/>
      <c r="I158" s="164"/>
      <c r="J158" s="164"/>
      <c r="K158" s="164"/>
      <c r="L158" s="155"/>
      <c r="M158" s="164"/>
      <c r="N158" s="164"/>
      <c r="O158" s="766" t="e">
        <f>O8+O18+O28+O38+O48+O58+O68+O78+O98+O108+O118+O128+O138</f>
        <v>#REF!</v>
      </c>
      <c r="P158" s="155">
        <f t="shared" si="86"/>
        <v>11319600</v>
      </c>
      <c r="Q158" s="155" t="e">
        <f>Q8+Q18+Q28+Q38+Q48+Q58+Q68+Q78+Q98+Q108+Q118+Q88+Q128+Q138+Q148</f>
        <v>#REF!</v>
      </c>
      <c r="R158" s="186"/>
      <c r="S158" s="186"/>
    </row>
    <row r="159" spans="1:23" ht="12.95" customHeight="1" x14ac:dyDescent="0.2">
      <c r="A159" s="90" t="str">
        <f t="shared" si="85"/>
        <v>МАДОУ ЦРР-детский сад № 13</v>
      </c>
      <c r="B159" s="164"/>
      <c r="C159" s="164"/>
      <c r="D159" s="155"/>
      <c r="E159" s="164"/>
      <c r="F159" s="164"/>
      <c r="G159" s="164"/>
      <c r="H159" s="164"/>
      <c r="I159" s="164"/>
      <c r="J159" s="164"/>
      <c r="K159" s="164"/>
      <c r="L159" s="155"/>
      <c r="M159" s="164"/>
      <c r="N159" s="164"/>
      <c r="O159" s="766" t="e">
        <f>O9+O19+O29+O39+O49+O59+O69+O79+O99+O109+O119+O129+O139+O89</f>
        <v>#REF!</v>
      </c>
      <c r="P159" s="155">
        <f t="shared" si="86"/>
        <v>14889000</v>
      </c>
      <c r="Q159" s="155" t="e">
        <f>Q9+Q19+Q29+Q39+Q49+Q59+Q69+Q79+Q99+Q109+Q119+Q89+Q129+Q139+Q149</f>
        <v>#REF!</v>
      </c>
      <c r="R159" s="186"/>
      <c r="S159" s="186"/>
    </row>
    <row r="160" spans="1:23" ht="29.45" customHeight="1" x14ac:dyDescent="0.2">
      <c r="A160" s="90" t="str">
        <f t="shared" si="85"/>
        <v>МАОУ СОШ № 1 структурное подразделение</v>
      </c>
      <c r="B160" s="164"/>
      <c r="C160" s="164"/>
      <c r="D160" s="155"/>
      <c r="E160" s="164"/>
      <c r="F160" s="164"/>
      <c r="G160" s="164"/>
      <c r="H160" s="164"/>
      <c r="I160" s="164"/>
      <c r="J160" s="164"/>
      <c r="K160" s="164"/>
      <c r="L160" s="155"/>
      <c r="M160" s="164"/>
      <c r="N160" s="164"/>
      <c r="O160" s="766" t="e">
        <f>O10+O20+O30+O40+O50+O60+O70+O80+O100+O110+O120+O130+O140</f>
        <v>#REF!</v>
      </c>
      <c r="P160" s="155">
        <f t="shared" si="86"/>
        <v>8621400</v>
      </c>
      <c r="Q160" s="155" t="e">
        <f>Q10+Q20+Q30+Q40+Q50+Q60+Q70+Q80+Q100+Q110+Q120+Q90+Q130+Q140+Q150</f>
        <v>#REF!</v>
      </c>
      <c r="R160" s="186"/>
      <c r="S160" s="186"/>
    </row>
    <row r="161" spans="1:23" ht="41.45" customHeight="1" x14ac:dyDescent="0.2">
      <c r="A161" s="90" t="str">
        <f t="shared" si="85"/>
        <v>МАОУ СОШ № 2 им.М.И.Грибушина структурное подразделение</v>
      </c>
      <c r="B161" s="164"/>
      <c r="C161" s="164"/>
      <c r="D161" s="155"/>
      <c r="E161" s="164"/>
      <c r="F161" s="164"/>
      <c r="G161" s="164"/>
      <c r="H161" s="164"/>
      <c r="I161" s="164"/>
      <c r="J161" s="164"/>
      <c r="K161" s="164"/>
      <c r="L161" s="155"/>
      <c r="M161" s="164"/>
      <c r="N161" s="164"/>
      <c r="O161" s="766" t="e">
        <f>O11+O21+O31+O41+O51+O61+O71+O81+O101+O111+O121+O131+O141</f>
        <v>#REF!</v>
      </c>
      <c r="P161" s="155">
        <f t="shared" si="86"/>
        <v>6218300</v>
      </c>
      <c r="Q161" s="155" t="e">
        <f>ROUND(Q11+Q21+Q31+Q41+Q51+Q61+Q71+Q81+Q101+Q111+Q121+Q131+Q141+Q151,0)</f>
        <v>#REF!</v>
      </c>
      <c r="R161" s="186"/>
      <c r="S161" s="186"/>
      <c r="W161" s="476"/>
    </row>
    <row r="162" spans="1:23" ht="28.9" customHeight="1" x14ac:dyDescent="0.2">
      <c r="A162" s="90" t="str">
        <f t="shared" si="85"/>
        <v>МАОУ СОШ № 10 структурное подразделение</v>
      </c>
      <c r="B162" s="164"/>
      <c r="C162" s="164"/>
      <c r="D162" s="155"/>
      <c r="E162" s="164"/>
      <c r="F162" s="164"/>
      <c r="G162" s="164"/>
      <c r="H162" s="164"/>
      <c r="I162" s="164"/>
      <c r="J162" s="164"/>
      <c r="K162" s="164"/>
      <c r="L162" s="155"/>
      <c r="M162" s="164"/>
      <c r="N162" s="164"/>
      <c r="O162" s="766" t="e">
        <f>O12+O22+O32+O42+O52+O62+O72+O82+O102+O112+O122+O132+O142</f>
        <v>#REF!</v>
      </c>
      <c r="P162" s="155">
        <f t="shared" si="86"/>
        <v>5128500</v>
      </c>
      <c r="Q162" s="155" t="e">
        <f>ROUND(Q12+Q22+Q32+Q42+Q52+Q62+Q72+Q82+Q102+Q112+Q122+Q132+Q142+Q152,0)</f>
        <v>#REF!</v>
      </c>
      <c r="R162" s="186"/>
      <c r="S162" s="186"/>
    </row>
    <row r="163" spans="1:23" ht="29.45" customHeight="1" x14ac:dyDescent="0.2">
      <c r="A163" s="90" t="str">
        <f t="shared" si="85"/>
        <v>МАОУ СОШ № 13 структурное подразделение</v>
      </c>
      <c r="B163" s="164"/>
      <c r="C163" s="164"/>
      <c r="D163" s="155"/>
      <c r="E163" s="164"/>
      <c r="F163" s="164"/>
      <c r="G163" s="164"/>
      <c r="H163" s="164"/>
      <c r="I163" s="164"/>
      <c r="J163" s="164"/>
      <c r="K163" s="164"/>
      <c r="L163" s="155"/>
      <c r="M163" s="164"/>
      <c r="N163" s="164"/>
      <c r="O163" s="766" t="e">
        <f>O13+O23+O33+O43+O53+O63+O73+O83+O103+O113+O123+O133+O143</f>
        <v>#REF!</v>
      </c>
      <c r="P163" s="155">
        <f t="shared" si="86"/>
        <v>3922900</v>
      </c>
      <c r="Q163" s="155" t="e">
        <f>ROUND(Q13+Q23+Q33+Q43+Q53+Q63+Q73+Q83+Q103+Q113+Q123+Q133+Q143+Q153,0)</f>
        <v>#REF!</v>
      </c>
      <c r="R163" s="186"/>
      <c r="S163" s="186"/>
    </row>
    <row r="164" spans="1:23" ht="28.15" customHeight="1" x14ac:dyDescent="0.2">
      <c r="A164" s="90" t="str">
        <f t="shared" si="85"/>
        <v>Гимназия № 16 структурное подразделение</v>
      </c>
      <c r="B164" s="164"/>
      <c r="C164" s="164"/>
      <c r="D164" s="155"/>
      <c r="E164" s="164"/>
      <c r="F164" s="164"/>
      <c r="G164" s="164"/>
      <c r="H164" s="164"/>
      <c r="I164" s="164"/>
      <c r="J164" s="164"/>
      <c r="K164" s="164"/>
      <c r="L164" s="155"/>
      <c r="M164" s="164"/>
      <c r="N164" s="164"/>
      <c r="O164" s="766" t="e">
        <f>O14+O24+O34+O44+O54+O64+O74+O84+O104+O114+O124+O134+O144+O94</f>
        <v>#REF!</v>
      </c>
      <c r="P164" s="155">
        <f t="shared" si="86"/>
        <v>9158500</v>
      </c>
      <c r="Q164" s="155" t="e">
        <f>ROUND(Q14+Q24+Q34+Q44+Q54+Q64+Q74+Q84+Q104+Q114+Q124+Q134+Q144+Q154+Q94,0)</f>
        <v>#REF!</v>
      </c>
      <c r="R164" s="186"/>
      <c r="S164" s="186"/>
    </row>
    <row r="165" spans="1:23" ht="42.6" customHeight="1" x14ac:dyDescent="0.2">
      <c r="A165" s="90" t="str">
        <f t="shared" si="85"/>
        <v>МАОУ ООШ № 17 с кадетскими классами структурное подразделение</v>
      </c>
      <c r="B165" s="164"/>
      <c r="C165" s="164"/>
      <c r="D165" s="155"/>
      <c r="E165" s="164"/>
      <c r="F165" s="164"/>
      <c r="G165" s="164"/>
      <c r="H165" s="164"/>
      <c r="I165" s="164"/>
      <c r="J165" s="164"/>
      <c r="K165" s="164"/>
      <c r="L165" s="155"/>
      <c r="M165" s="164"/>
      <c r="N165" s="164"/>
      <c r="O165" s="766" t="e">
        <f>O15+O25+O35+O45+O55+O65+O75+O85+O105+O115+O125+O135+O145</f>
        <v>#REF!</v>
      </c>
      <c r="P165" s="155">
        <f t="shared" si="86"/>
        <v>2346700</v>
      </c>
      <c r="Q165" s="155" t="e">
        <f>ROUND(Q15+Q25+Q35+Q45+Q55+Q65+Q75+Q85+Q105+Q115+Q125+Q135+Q145+Q155,0)</f>
        <v>#REF!</v>
      </c>
      <c r="R165" s="186"/>
      <c r="S165" s="186"/>
    </row>
    <row r="166" spans="1:23" ht="57.6" hidden="1" customHeight="1" outlineLevel="1" x14ac:dyDescent="0.2">
      <c r="A166" s="173" t="str">
        <f>A6</f>
        <v>Реализация основных общеобразовательных программ дошкольного образования От 1 года до 3 лет Очная группа полного дня</v>
      </c>
      <c r="B166" s="174" t="str">
        <f>B6</f>
        <v>801011О.99.0.БВ24ДМ62000</v>
      </c>
      <c r="C166" s="175"/>
      <c r="D166" s="175"/>
      <c r="E166" s="175"/>
      <c r="F166" s="176">
        <f>'Общий 2022'!F7</f>
        <v>8932.92</v>
      </c>
      <c r="G166" s="176">
        <f>'Общий 2022'!G7</f>
        <v>490.65999999999997</v>
      </c>
      <c r="H166" s="176">
        <f>'Общий 2022'!H7</f>
        <v>158.88</v>
      </c>
      <c r="I166" s="176">
        <f>'Общий 2022'!I7</f>
        <v>393.6</v>
      </c>
      <c r="J166" s="176"/>
      <c r="K166" s="176"/>
      <c r="L166" s="176">
        <f>'Общий 2022'!L7</f>
        <v>613.29</v>
      </c>
      <c r="M166" s="175"/>
      <c r="N166" s="175"/>
      <c r="O166" s="765">
        <f>SUM(O167:O175)</f>
        <v>768</v>
      </c>
      <c r="P166" s="175"/>
      <c r="Q166" s="176">
        <f>SUM(Q167:Q175)</f>
        <v>8635600</v>
      </c>
      <c r="S166" s="186">
        <f t="shared" ref="S166:S185" si="87">Q166-Q6</f>
        <v>281500</v>
      </c>
    </row>
    <row r="167" spans="1:23" ht="12.95" hidden="1" customHeight="1" outlineLevel="2" x14ac:dyDescent="0.2">
      <c r="A167" s="156" t="str">
        <f t="shared" ref="A167:A198" si="88">A7</f>
        <v>МАДОУ ЦРР-детский сад № 2</v>
      </c>
      <c r="B167" s="172"/>
      <c r="C167" s="166"/>
      <c r="D167" s="166"/>
      <c r="E167" s="166"/>
      <c r="F167" s="155">
        <f>$F$166</f>
        <v>8932.92</v>
      </c>
      <c r="G167" s="155">
        <f>$G$166</f>
        <v>490.65999999999997</v>
      </c>
      <c r="H167" s="155">
        <f>$H$166</f>
        <v>158.88</v>
      </c>
      <c r="I167" s="155">
        <f>$I$166</f>
        <v>393.6</v>
      </c>
      <c r="J167" s="155"/>
      <c r="K167" s="155"/>
      <c r="L167" s="155">
        <f>$L$166</f>
        <v>613.29</v>
      </c>
      <c r="M167" s="180">
        <f t="shared" ref="M167:O175" si="89">M7</f>
        <v>1</v>
      </c>
      <c r="N167" s="180">
        <f t="shared" si="89"/>
        <v>1.0249999999999999</v>
      </c>
      <c r="O167" s="766">
        <f t="shared" si="89"/>
        <v>81</v>
      </c>
      <c r="P167" s="155"/>
      <c r="Q167" s="155">
        <f>ROUND(ROUND((C167+D167+E167+F167+G167+H167+I167+J167+K167+L167)*M167*N167,2)*O167-P167,-2)</f>
        <v>879200</v>
      </c>
      <c r="R167" s="189">
        <f>(B167+C167+D167+E167+F167+G167+H167+I167+J167+K167+L167)*M167*N167</f>
        <v>10854.083749999998</v>
      </c>
      <c r="S167" s="186">
        <f t="shared" si="87"/>
        <v>28600</v>
      </c>
    </row>
    <row r="168" spans="1:23" ht="12.95" hidden="1" customHeight="1" outlineLevel="2" x14ac:dyDescent="0.2">
      <c r="A168" s="156" t="str">
        <f t="shared" si="88"/>
        <v>МАДОУ ЦРР-детский сад № 11</v>
      </c>
      <c r="B168" s="172"/>
      <c r="C168" s="166"/>
      <c r="D168" s="166"/>
      <c r="E168" s="166"/>
      <c r="F168" s="155">
        <f t="shared" ref="F168:F175" si="90">$F$166</f>
        <v>8932.92</v>
      </c>
      <c r="G168" s="155">
        <f t="shared" ref="G168:G175" si="91">$G$166</f>
        <v>490.65999999999997</v>
      </c>
      <c r="H168" s="155">
        <f t="shared" ref="H168:H175" si="92">$H$166</f>
        <v>158.88</v>
      </c>
      <c r="I168" s="155">
        <f t="shared" ref="I168:I175" si="93">$I$166</f>
        <v>393.6</v>
      </c>
      <c r="J168" s="155"/>
      <c r="K168" s="155"/>
      <c r="L168" s="155">
        <f t="shared" ref="L168:L175" si="94">$L$166</f>
        <v>613.29</v>
      </c>
      <c r="M168" s="180">
        <f t="shared" si="89"/>
        <v>1</v>
      </c>
      <c r="N168" s="180">
        <f t="shared" si="89"/>
        <v>0.93799999999999994</v>
      </c>
      <c r="O168" s="766">
        <f t="shared" si="89"/>
        <v>145</v>
      </c>
      <c r="P168" s="155"/>
      <c r="Q168" s="806">
        <f t="shared" ref="Q168:Q175" si="95">ROUND(ROUND((C168+D168+E168+F168+G168+H168+I168+J168+K168+L168)*M168*N168,2)*O168-P168,-2)</f>
        <v>1440300</v>
      </c>
      <c r="R168" s="189">
        <f t="shared" ref="R168:R175" si="96">(B168+C168+D168+E168+F168+G168+H168+I168+J168+K168+L168)*M168*N168</f>
        <v>9932.8102999999974</v>
      </c>
      <c r="S168" s="186">
        <f t="shared" si="87"/>
        <v>47500</v>
      </c>
    </row>
    <row r="169" spans="1:23" ht="12.95" hidden="1" customHeight="1" outlineLevel="2" x14ac:dyDescent="0.2">
      <c r="A169" s="156" t="str">
        <f t="shared" si="88"/>
        <v>МАДОУ ЦРР-детский сад № 13</v>
      </c>
      <c r="B169" s="172"/>
      <c r="C169" s="166"/>
      <c r="D169" s="166"/>
      <c r="E169" s="166"/>
      <c r="F169" s="155">
        <f t="shared" si="90"/>
        <v>8932.92</v>
      </c>
      <c r="G169" s="155">
        <f t="shared" si="91"/>
        <v>490.65999999999997</v>
      </c>
      <c r="H169" s="155">
        <f t="shared" si="92"/>
        <v>158.88</v>
      </c>
      <c r="I169" s="155">
        <f t="shared" si="93"/>
        <v>393.6</v>
      </c>
      <c r="J169" s="155"/>
      <c r="K169" s="155"/>
      <c r="L169" s="155">
        <f t="shared" si="94"/>
        <v>613.29</v>
      </c>
      <c r="M169" s="180">
        <f t="shared" si="89"/>
        <v>1</v>
      </c>
      <c r="N169" s="180">
        <f t="shared" si="89"/>
        <v>0.96399999999999997</v>
      </c>
      <c r="O169" s="766">
        <f t="shared" si="89"/>
        <v>217</v>
      </c>
      <c r="P169" s="155"/>
      <c r="Q169" s="806">
        <f t="shared" si="95"/>
        <v>2215200</v>
      </c>
      <c r="R169" s="189">
        <f t="shared" si="96"/>
        <v>10208.133399999999</v>
      </c>
      <c r="S169" s="186">
        <f t="shared" si="87"/>
        <v>72100</v>
      </c>
    </row>
    <row r="170" spans="1:23" ht="30.6" hidden="1" customHeight="1" outlineLevel="2" x14ac:dyDescent="0.2">
      <c r="A170" s="156" t="str">
        <f t="shared" si="88"/>
        <v>МАОУ СОШ № 1 структурное подразделение</v>
      </c>
      <c r="B170" s="172"/>
      <c r="C170" s="166"/>
      <c r="D170" s="166"/>
      <c r="E170" s="166"/>
      <c r="F170" s="155">
        <f t="shared" si="90"/>
        <v>8932.92</v>
      </c>
      <c r="G170" s="155">
        <f t="shared" si="91"/>
        <v>490.65999999999997</v>
      </c>
      <c r="H170" s="155">
        <f t="shared" si="92"/>
        <v>158.88</v>
      </c>
      <c r="I170" s="155">
        <f t="shared" si="93"/>
        <v>393.6</v>
      </c>
      <c r="J170" s="155"/>
      <c r="K170" s="155"/>
      <c r="L170" s="155">
        <f t="shared" si="94"/>
        <v>613.29</v>
      </c>
      <c r="M170" s="180">
        <f t="shared" si="89"/>
        <v>1</v>
      </c>
      <c r="N170" s="180">
        <f t="shared" si="89"/>
        <v>0.88800000000000001</v>
      </c>
      <c r="O170" s="766">
        <f t="shared" si="89"/>
        <v>54</v>
      </c>
      <c r="P170" s="155"/>
      <c r="Q170" s="806">
        <f t="shared" si="95"/>
        <v>507800</v>
      </c>
      <c r="R170" s="189">
        <f t="shared" si="96"/>
        <v>9403.3427999999985</v>
      </c>
      <c r="S170" s="186">
        <f t="shared" si="87"/>
        <v>16500</v>
      </c>
    </row>
    <row r="171" spans="1:23" ht="46.15" hidden="1" customHeight="1" outlineLevel="2" x14ac:dyDescent="0.2">
      <c r="A171" s="156" t="str">
        <f t="shared" si="88"/>
        <v>МАОУ СОШ № 2 им.М.И.Грибушина структурное подразделение</v>
      </c>
      <c r="B171" s="172"/>
      <c r="C171" s="166"/>
      <c r="D171" s="166"/>
      <c r="E171" s="166"/>
      <c r="F171" s="155">
        <f t="shared" si="90"/>
        <v>8932.92</v>
      </c>
      <c r="G171" s="155">
        <f t="shared" si="91"/>
        <v>490.65999999999997</v>
      </c>
      <c r="H171" s="155">
        <f t="shared" si="92"/>
        <v>158.88</v>
      </c>
      <c r="I171" s="155">
        <f t="shared" si="93"/>
        <v>393.6</v>
      </c>
      <c r="J171" s="155"/>
      <c r="K171" s="155"/>
      <c r="L171" s="155">
        <f t="shared" si="94"/>
        <v>613.29</v>
      </c>
      <c r="M171" s="180">
        <f t="shared" si="89"/>
        <v>1</v>
      </c>
      <c r="N171" s="180">
        <f t="shared" si="89"/>
        <v>1.012</v>
      </c>
      <c r="O171" s="766">
        <f t="shared" si="89"/>
        <v>82</v>
      </c>
      <c r="P171" s="155"/>
      <c r="Q171" s="806">
        <f t="shared" si="95"/>
        <v>878700</v>
      </c>
      <c r="R171" s="189">
        <f t="shared" si="96"/>
        <v>10716.422199999999</v>
      </c>
      <c r="S171" s="186">
        <f t="shared" si="87"/>
        <v>28600</v>
      </c>
    </row>
    <row r="172" spans="1:23" ht="31.9" hidden="1" customHeight="1" outlineLevel="2" x14ac:dyDescent="0.2">
      <c r="A172" s="156" t="str">
        <f t="shared" si="88"/>
        <v>МАОУ СОШ № 10 структурное подразделение</v>
      </c>
      <c r="B172" s="172"/>
      <c r="C172" s="166"/>
      <c r="D172" s="166"/>
      <c r="E172" s="166"/>
      <c r="F172" s="155">
        <f t="shared" si="90"/>
        <v>8932.92</v>
      </c>
      <c r="G172" s="155">
        <f t="shared" si="91"/>
        <v>490.65999999999997</v>
      </c>
      <c r="H172" s="155">
        <f t="shared" si="92"/>
        <v>158.88</v>
      </c>
      <c r="I172" s="155">
        <f t="shared" si="93"/>
        <v>393.6</v>
      </c>
      <c r="J172" s="155"/>
      <c r="K172" s="155"/>
      <c r="L172" s="155">
        <f t="shared" si="94"/>
        <v>613.29</v>
      </c>
      <c r="M172" s="180">
        <f t="shared" si="89"/>
        <v>1</v>
      </c>
      <c r="N172" s="180">
        <f t="shared" si="89"/>
        <v>0.82899999999999996</v>
      </c>
      <c r="O172" s="766">
        <f t="shared" si="89"/>
        <v>32</v>
      </c>
      <c r="P172" s="155"/>
      <c r="Q172" s="806">
        <f t="shared" si="95"/>
        <v>280900</v>
      </c>
      <c r="R172" s="189">
        <f t="shared" si="96"/>
        <v>8778.5711499999979</v>
      </c>
      <c r="S172" s="186">
        <f t="shared" si="87"/>
        <v>9100</v>
      </c>
    </row>
    <row r="173" spans="1:23" ht="30" hidden="1" customHeight="1" outlineLevel="2" x14ac:dyDescent="0.2">
      <c r="A173" s="156" t="str">
        <f t="shared" si="88"/>
        <v>МАОУ СОШ № 13 структурное подразделение</v>
      </c>
      <c r="B173" s="172"/>
      <c r="C173" s="166"/>
      <c r="D173" s="166"/>
      <c r="E173" s="166"/>
      <c r="F173" s="155">
        <f t="shared" si="90"/>
        <v>8932.92</v>
      </c>
      <c r="G173" s="155">
        <f t="shared" si="91"/>
        <v>490.65999999999997</v>
      </c>
      <c r="H173" s="155">
        <f t="shared" si="92"/>
        <v>158.88</v>
      </c>
      <c r="I173" s="155">
        <f t="shared" si="93"/>
        <v>393.6</v>
      </c>
      <c r="J173" s="155"/>
      <c r="K173" s="155"/>
      <c r="L173" s="155">
        <f t="shared" si="94"/>
        <v>613.29</v>
      </c>
      <c r="M173" s="180">
        <f t="shared" si="89"/>
        <v>1</v>
      </c>
      <c r="N173" s="180">
        <f t="shared" si="89"/>
        <v>1.284</v>
      </c>
      <c r="O173" s="766">
        <f t="shared" si="89"/>
        <v>49</v>
      </c>
      <c r="P173" s="155"/>
      <c r="Q173" s="806">
        <f t="shared" si="95"/>
        <v>666200</v>
      </c>
      <c r="R173" s="189">
        <f t="shared" si="96"/>
        <v>13596.725399999999</v>
      </c>
      <c r="S173" s="186">
        <f t="shared" si="87"/>
        <v>21600</v>
      </c>
    </row>
    <row r="174" spans="1:23" ht="30" hidden="1" customHeight="1" outlineLevel="2" x14ac:dyDescent="0.2">
      <c r="A174" s="156" t="str">
        <f t="shared" si="88"/>
        <v>Гимназия № 16 структурное подразделение</v>
      </c>
      <c r="B174" s="172"/>
      <c r="C174" s="166"/>
      <c r="D174" s="166"/>
      <c r="E174" s="166"/>
      <c r="F174" s="155">
        <f t="shared" si="90"/>
        <v>8932.92</v>
      </c>
      <c r="G174" s="155">
        <f t="shared" si="91"/>
        <v>490.65999999999997</v>
      </c>
      <c r="H174" s="155">
        <f t="shared" si="92"/>
        <v>158.88</v>
      </c>
      <c r="I174" s="155">
        <f t="shared" si="93"/>
        <v>393.6</v>
      </c>
      <c r="J174" s="155"/>
      <c r="K174" s="155"/>
      <c r="L174" s="155">
        <f t="shared" si="94"/>
        <v>613.29</v>
      </c>
      <c r="M174" s="180">
        <f t="shared" si="89"/>
        <v>1</v>
      </c>
      <c r="N174" s="180">
        <f t="shared" si="89"/>
        <v>1.2290000000000001</v>
      </c>
      <c r="O174" s="766">
        <f t="shared" si="89"/>
        <v>82</v>
      </c>
      <c r="P174" s="155"/>
      <c r="Q174" s="806">
        <f t="shared" si="95"/>
        <v>1067200</v>
      </c>
      <c r="R174" s="189">
        <f t="shared" si="96"/>
        <v>13014.31115</v>
      </c>
      <c r="S174" s="186">
        <f t="shared" si="87"/>
        <v>34800</v>
      </c>
    </row>
    <row r="175" spans="1:23" ht="43.15" hidden="1" customHeight="1" outlineLevel="2" x14ac:dyDescent="0.2">
      <c r="A175" s="156" t="str">
        <f t="shared" si="88"/>
        <v>МАОУ ООШ № 17 с кадетскими классами структурное подразделение</v>
      </c>
      <c r="B175" s="172"/>
      <c r="C175" s="166"/>
      <c r="D175" s="166"/>
      <c r="E175" s="166"/>
      <c r="F175" s="155">
        <f t="shared" si="90"/>
        <v>8932.92</v>
      </c>
      <c r="G175" s="155">
        <f t="shared" si="91"/>
        <v>490.65999999999997</v>
      </c>
      <c r="H175" s="155">
        <f t="shared" si="92"/>
        <v>158.88</v>
      </c>
      <c r="I175" s="155">
        <f t="shared" si="93"/>
        <v>393.6</v>
      </c>
      <c r="J175" s="155"/>
      <c r="K175" s="155"/>
      <c r="L175" s="155">
        <f t="shared" si="94"/>
        <v>613.29</v>
      </c>
      <c r="M175" s="180">
        <f t="shared" si="89"/>
        <v>1</v>
      </c>
      <c r="N175" s="180">
        <f t="shared" si="89"/>
        <v>2.5430000000000001</v>
      </c>
      <c r="O175" s="766">
        <f t="shared" si="89"/>
        <v>26</v>
      </c>
      <c r="P175" s="155"/>
      <c r="Q175" s="806">
        <f t="shared" si="95"/>
        <v>700100</v>
      </c>
      <c r="R175" s="189">
        <f t="shared" si="96"/>
        <v>26928.717049999999</v>
      </c>
      <c r="S175" s="186">
        <f t="shared" si="87"/>
        <v>22700</v>
      </c>
    </row>
    <row r="176" spans="1:23" ht="61.5" hidden="1" customHeight="1" outlineLevel="1" collapsed="1" x14ac:dyDescent="0.2">
      <c r="A176" s="177" t="str">
        <f t="shared" si="88"/>
        <v>Реализация основных общеобразовательных программ дошкольного образования От 3 лет до 8 лет Очная группа полного дня</v>
      </c>
      <c r="B176" s="174" t="str">
        <f>B16</f>
        <v>801011О.99.0.БВ24ДН82000</v>
      </c>
      <c r="C176" s="175"/>
      <c r="D176" s="175"/>
      <c r="E176" s="175"/>
      <c r="F176" s="176">
        <f>'Общий 2022'!F8</f>
        <v>8932.92</v>
      </c>
      <c r="G176" s="176">
        <f>'Общий 2022'!G8</f>
        <v>490.65999999999997</v>
      </c>
      <c r="H176" s="176">
        <f>'Общий 2022'!H8</f>
        <v>158.88</v>
      </c>
      <c r="I176" s="176">
        <f>'Общий 2022'!I8</f>
        <v>393.6</v>
      </c>
      <c r="J176" s="176"/>
      <c r="K176" s="176"/>
      <c r="L176" s="176">
        <f>'Общий 2022'!L8</f>
        <v>521.6</v>
      </c>
      <c r="M176" s="181"/>
      <c r="N176" s="181"/>
      <c r="O176" s="765">
        <f>SUM(O177:O185)</f>
        <v>2847</v>
      </c>
      <c r="P176" s="175"/>
      <c r="Q176" s="176">
        <f>SUM(Q177:Q185)</f>
        <v>31652700</v>
      </c>
      <c r="R176" s="186"/>
      <c r="S176" s="186">
        <f t="shared" si="87"/>
        <v>1039400</v>
      </c>
    </row>
    <row r="177" spans="1:19" s="92" customFormat="1" hidden="1" outlineLevel="2" x14ac:dyDescent="0.2">
      <c r="A177" s="90" t="str">
        <f t="shared" si="88"/>
        <v>МАДОУ ЦРР-детский сад № 2</v>
      </c>
      <c r="B177" s="178"/>
      <c r="C177" s="178"/>
      <c r="D177" s="178"/>
      <c r="E177" s="178"/>
      <c r="F177" s="155">
        <f>$F$176</f>
        <v>8932.92</v>
      </c>
      <c r="G177" s="155">
        <f>$G$176</f>
        <v>490.65999999999997</v>
      </c>
      <c r="H177" s="155">
        <f>$H$176</f>
        <v>158.88</v>
      </c>
      <c r="I177" s="155">
        <f>$I$176</f>
        <v>393.6</v>
      </c>
      <c r="J177" s="155"/>
      <c r="K177" s="155"/>
      <c r="L177" s="155">
        <f>$L$176</f>
        <v>521.6</v>
      </c>
      <c r="M177" s="182">
        <f t="shared" ref="M177:O185" si="97">M17</f>
        <v>1</v>
      </c>
      <c r="N177" s="182">
        <f t="shared" si="97"/>
        <v>1.0249999999999999</v>
      </c>
      <c r="O177" s="767">
        <f t="shared" si="97"/>
        <v>445</v>
      </c>
      <c r="P177" s="179"/>
      <c r="Q177" s="155">
        <f>ROUND(ROUND((C177+D177+E177+F177+G177+H177+I177+J177+K177+L177)*M177*N177,2)*O177-P177,-2)</f>
        <v>4788200</v>
      </c>
      <c r="R177" s="189">
        <f t="shared" ref="R177:R195" si="98">(B177+C177+D177+E177+F177+G177+H177+I177+J177+K177+L177)*M177*N177</f>
        <v>10760.101499999999</v>
      </c>
      <c r="S177" s="499">
        <f t="shared" si="87"/>
        <v>157200</v>
      </c>
    </row>
    <row r="178" spans="1:19" s="92" customFormat="1" hidden="1" outlineLevel="2" x14ac:dyDescent="0.2">
      <c r="A178" s="90" t="str">
        <f t="shared" si="88"/>
        <v>МАДОУ ЦРР-детский сад № 11</v>
      </c>
      <c r="B178" s="178"/>
      <c r="C178" s="178"/>
      <c r="D178" s="178"/>
      <c r="E178" s="178"/>
      <c r="F178" s="155">
        <f t="shared" ref="F178:F185" si="99">$F$176</f>
        <v>8932.92</v>
      </c>
      <c r="G178" s="155">
        <f t="shared" ref="G178:G185" si="100">$G$176</f>
        <v>490.65999999999997</v>
      </c>
      <c r="H178" s="155">
        <f t="shared" ref="H178:H185" si="101">$H$176</f>
        <v>158.88</v>
      </c>
      <c r="I178" s="155">
        <f t="shared" ref="I178:I185" si="102">$I$176</f>
        <v>393.6</v>
      </c>
      <c r="J178" s="155"/>
      <c r="K178" s="155"/>
      <c r="L178" s="155">
        <f t="shared" ref="L178:L185" si="103">$L$176</f>
        <v>521.6</v>
      </c>
      <c r="M178" s="182">
        <f t="shared" si="97"/>
        <v>1</v>
      </c>
      <c r="N178" s="182">
        <f t="shared" si="97"/>
        <v>0.93799999999999994</v>
      </c>
      <c r="O178" s="767">
        <f t="shared" si="97"/>
        <v>423</v>
      </c>
      <c r="P178" s="179"/>
      <c r="Q178" s="806">
        <f t="shared" ref="Q178:Q185" si="104">ROUND(ROUND((C178+D178+E178+F178+G178+H178+I178+J178+K178+L178)*M178*N178,2)*O178-P178,-2)</f>
        <v>4165200</v>
      </c>
      <c r="R178" s="189">
        <f t="shared" si="98"/>
        <v>9846.8050800000001</v>
      </c>
      <c r="S178" s="499">
        <f t="shared" si="87"/>
        <v>136800</v>
      </c>
    </row>
    <row r="179" spans="1:19" s="92" customFormat="1" hidden="1" outlineLevel="2" x14ac:dyDescent="0.2">
      <c r="A179" s="90" t="str">
        <f t="shared" si="88"/>
        <v>МАДОУ ЦРР-детский сад № 13</v>
      </c>
      <c r="B179" s="178"/>
      <c r="C179" s="178"/>
      <c r="D179" s="178"/>
      <c r="E179" s="178"/>
      <c r="F179" s="155">
        <f t="shared" si="99"/>
        <v>8932.92</v>
      </c>
      <c r="G179" s="155">
        <f t="shared" si="100"/>
        <v>490.65999999999997</v>
      </c>
      <c r="H179" s="155">
        <f t="shared" si="101"/>
        <v>158.88</v>
      </c>
      <c r="I179" s="155">
        <f t="shared" si="102"/>
        <v>393.6</v>
      </c>
      <c r="J179" s="155"/>
      <c r="K179" s="155"/>
      <c r="L179" s="155">
        <f t="shared" si="103"/>
        <v>521.6</v>
      </c>
      <c r="M179" s="182">
        <f t="shared" si="97"/>
        <v>1</v>
      </c>
      <c r="N179" s="182">
        <f t="shared" si="97"/>
        <v>0.96399999999999997</v>
      </c>
      <c r="O179" s="767">
        <f t="shared" si="97"/>
        <v>509</v>
      </c>
      <c r="P179" s="179"/>
      <c r="Q179" s="806">
        <f t="shared" si="104"/>
        <v>5150900</v>
      </c>
      <c r="R179" s="189">
        <f t="shared" si="98"/>
        <v>10119.74424</v>
      </c>
      <c r="S179" s="499">
        <f t="shared" si="87"/>
        <v>169100</v>
      </c>
    </row>
    <row r="180" spans="1:19" s="92" customFormat="1" ht="30.6" hidden="1" customHeight="1" outlineLevel="2" x14ac:dyDescent="0.2">
      <c r="A180" s="90" t="str">
        <f t="shared" si="88"/>
        <v>МАОУ СОШ № 1 структурное подразделение</v>
      </c>
      <c r="B180" s="178"/>
      <c r="C180" s="178"/>
      <c r="D180" s="178"/>
      <c r="E180" s="178"/>
      <c r="F180" s="155">
        <f t="shared" si="99"/>
        <v>8932.92</v>
      </c>
      <c r="G180" s="155">
        <f t="shared" si="100"/>
        <v>490.65999999999997</v>
      </c>
      <c r="H180" s="155">
        <f t="shared" si="101"/>
        <v>158.88</v>
      </c>
      <c r="I180" s="155">
        <f t="shared" si="102"/>
        <v>393.6</v>
      </c>
      <c r="J180" s="155"/>
      <c r="K180" s="155"/>
      <c r="L180" s="155">
        <f t="shared" si="103"/>
        <v>521.6</v>
      </c>
      <c r="M180" s="182">
        <f t="shared" si="97"/>
        <v>1</v>
      </c>
      <c r="N180" s="182">
        <f t="shared" si="97"/>
        <v>0.88800000000000001</v>
      </c>
      <c r="O180" s="767">
        <f t="shared" si="97"/>
        <v>377</v>
      </c>
      <c r="P180" s="179"/>
      <c r="Q180" s="806">
        <f t="shared" si="104"/>
        <v>3514400</v>
      </c>
      <c r="R180" s="189">
        <f t="shared" si="98"/>
        <v>9321.9220800000003</v>
      </c>
      <c r="S180" s="499">
        <f t="shared" si="87"/>
        <v>115400</v>
      </c>
    </row>
    <row r="181" spans="1:19" s="92" customFormat="1" ht="42" hidden="1" customHeight="1" outlineLevel="2" x14ac:dyDescent="0.2">
      <c r="A181" s="90" t="str">
        <f t="shared" si="88"/>
        <v>МАОУ СОШ № 2 им.М.И.Грибушина структурное подразделение</v>
      </c>
      <c r="B181" s="178"/>
      <c r="C181" s="178"/>
      <c r="D181" s="178"/>
      <c r="E181" s="178"/>
      <c r="F181" s="155">
        <f t="shared" si="99"/>
        <v>8932.92</v>
      </c>
      <c r="G181" s="155">
        <f t="shared" si="100"/>
        <v>490.65999999999997</v>
      </c>
      <c r="H181" s="155">
        <f t="shared" si="101"/>
        <v>158.88</v>
      </c>
      <c r="I181" s="155">
        <f t="shared" si="102"/>
        <v>393.6</v>
      </c>
      <c r="J181" s="155"/>
      <c r="K181" s="155"/>
      <c r="L181" s="155">
        <f t="shared" si="103"/>
        <v>521.6</v>
      </c>
      <c r="M181" s="182">
        <f t="shared" si="97"/>
        <v>1</v>
      </c>
      <c r="N181" s="182">
        <f t="shared" si="97"/>
        <v>1.012</v>
      </c>
      <c r="O181" s="767">
        <f t="shared" si="97"/>
        <v>235</v>
      </c>
      <c r="P181" s="179"/>
      <c r="Q181" s="806">
        <f t="shared" si="104"/>
        <v>2496600</v>
      </c>
      <c r="R181" s="189">
        <f t="shared" si="98"/>
        <v>10623.63192</v>
      </c>
      <c r="S181" s="499">
        <f t="shared" si="87"/>
        <v>82000</v>
      </c>
    </row>
    <row r="182" spans="1:19" s="92" customFormat="1" ht="28.9" hidden="1" customHeight="1" outlineLevel="2" x14ac:dyDescent="0.2">
      <c r="A182" s="90" t="str">
        <f t="shared" si="88"/>
        <v>МАОУ СОШ № 10 структурное подразделение</v>
      </c>
      <c r="B182" s="178"/>
      <c r="C182" s="178"/>
      <c r="D182" s="178"/>
      <c r="E182" s="178"/>
      <c r="F182" s="155">
        <f t="shared" si="99"/>
        <v>8932.92</v>
      </c>
      <c r="G182" s="155">
        <f t="shared" si="100"/>
        <v>490.65999999999997</v>
      </c>
      <c r="H182" s="155">
        <f t="shared" si="101"/>
        <v>158.88</v>
      </c>
      <c r="I182" s="155">
        <f t="shared" si="102"/>
        <v>393.6</v>
      </c>
      <c r="J182" s="155"/>
      <c r="K182" s="155"/>
      <c r="L182" s="155">
        <f t="shared" si="103"/>
        <v>521.6</v>
      </c>
      <c r="M182" s="182">
        <f t="shared" si="97"/>
        <v>1</v>
      </c>
      <c r="N182" s="182">
        <f t="shared" si="97"/>
        <v>0.82899999999999996</v>
      </c>
      <c r="O182" s="767">
        <f t="shared" si="97"/>
        <v>225</v>
      </c>
      <c r="P182" s="179"/>
      <c r="Q182" s="806">
        <f t="shared" si="104"/>
        <v>1958100</v>
      </c>
      <c r="R182" s="189">
        <f t="shared" si="98"/>
        <v>8702.5601399999996</v>
      </c>
      <c r="S182" s="499">
        <f t="shared" si="87"/>
        <v>64300</v>
      </c>
    </row>
    <row r="183" spans="1:19" s="92" customFormat="1" ht="28.15" hidden="1" customHeight="1" outlineLevel="2" x14ac:dyDescent="0.2">
      <c r="A183" s="90" t="str">
        <f t="shared" si="88"/>
        <v>МАОУ СОШ № 13 структурное подразделение</v>
      </c>
      <c r="B183" s="178"/>
      <c r="C183" s="178"/>
      <c r="D183" s="178"/>
      <c r="E183" s="178"/>
      <c r="F183" s="155">
        <f t="shared" si="99"/>
        <v>8932.92</v>
      </c>
      <c r="G183" s="155">
        <f t="shared" si="100"/>
        <v>490.65999999999997</v>
      </c>
      <c r="H183" s="155">
        <f t="shared" si="101"/>
        <v>158.88</v>
      </c>
      <c r="I183" s="155">
        <f t="shared" si="102"/>
        <v>393.6</v>
      </c>
      <c r="J183" s="155"/>
      <c r="K183" s="155"/>
      <c r="L183" s="155">
        <f t="shared" si="103"/>
        <v>521.6</v>
      </c>
      <c r="M183" s="182">
        <f t="shared" si="97"/>
        <v>1</v>
      </c>
      <c r="N183" s="182">
        <f t="shared" si="97"/>
        <v>1.284</v>
      </c>
      <c r="O183" s="767">
        <f t="shared" si="97"/>
        <v>153</v>
      </c>
      <c r="P183" s="179"/>
      <c r="Q183" s="806">
        <f t="shared" si="104"/>
        <v>2062300</v>
      </c>
      <c r="R183" s="189">
        <f t="shared" si="98"/>
        <v>13478.995440000001</v>
      </c>
      <c r="S183" s="499">
        <f t="shared" si="87"/>
        <v>67700</v>
      </c>
    </row>
    <row r="184" spans="1:19" s="92" customFormat="1" ht="31.15" hidden="1" customHeight="1" outlineLevel="2" x14ac:dyDescent="0.2">
      <c r="A184" s="90" t="str">
        <f t="shared" si="88"/>
        <v>Гимназия № 16 структурное подразделение</v>
      </c>
      <c r="B184" s="178"/>
      <c r="C184" s="178"/>
      <c r="D184" s="178"/>
      <c r="E184" s="178"/>
      <c r="F184" s="155">
        <f t="shared" si="99"/>
        <v>8932.92</v>
      </c>
      <c r="G184" s="155">
        <f t="shared" si="100"/>
        <v>490.65999999999997</v>
      </c>
      <c r="H184" s="155">
        <f t="shared" si="101"/>
        <v>158.88</v>
      </c>
      <c r="I184" s="155">
        <f t="shared" si="102"/>
        <v>393.6</v>
      </c>
      <c r="J184" s="155"/>
      <c r="K184" s="155"/>
      <c r="L184" s="155">
        <f t="shared" si="103"/>
        <v>521.6</v>
      </c>
      <c r="M184" s="182">
        <f t="shared" si="97"/>
        <v>1</v>
      </c>
      <c r="N184" s="182">
        <f t="shared" si="97"/>
        <v>1.2290000000000001</v>
      </c>
      <c r="O184" s="767">
        <f t="shared" si="97"/>
        <v>384</v>
      </c>
      <c r="P184" s="179"/>
      <c r="Q184" s="806">
        <f t="shared" si="104"/>
        <v>4954200</v>
      </c>
      <c r="R184" s="189">
        <f t="shared" si="98"/>
        <v>12901.62414</v>
      </c>
      <c r="S184" s="499">
        <f t="shared" si="87"/>
        <v>162700</v>
      </c>
    </row>
    <row r="185" spans="1:19" s="92" customFormat="1" ht="43.9" hidden="1" customHeight="1" outlineLevel="2" x14ac:dyDescent="0.2">
      <c r="A185" s="90" t="str">
        <f t="shared" si="88"/>
        <v>МАОУ ООШ № 17 с кадетскими классами структурное подразделение</v>
      </c>
      <c r="B185" s="178"/>
      <c r="C185" s="178"/>
      <c r="D185" s="178"/>
      <c r="E185" s="178"/>
      <c r="F185" s="155">
        <f t="shared" si="99"/>
        <v>8932.92</v>
      </c>
      <c r="G185" s="155">
        <f t="shared" si="100"/>
        <v>490.65999999999997</v>
      </c>
      <c r="H185" s="155">
        <f t="shared" si="101"/>
        <v>158.88</v>
      </c>
      <c r="I185" s="155">
        <f t="shared" si="102"/>
        <v>393.6</v>
      </c>
      <c r="J185" s="155"/>
      <c r="K185" s="155"/>
      <c r="L185" s="155">
        <f t="shared" si="103"/>
        <v>521.6</v>
      </c>
      <c r="M185" s="182">
        <f t="shared" si="97"/>
        <v>1</v>
      </c>
      <c r="N185" s="182">
        <f t="shared" si="97"/>
        <v>2.5430000000000001</v>
      </c>
      <c r="O185" s="767">
        <f t="shared" si="97"/>
        <v>96</v>
      </c>
      <c r="P185" s="179"/>
      <c r="Q185" s="806">
        <f t="shared" si="104"/>
        <v>2562800</v>
      </c>
      <c r="R185" s="189">
        <f t="shared" si="98"/>
        <v>26695.54938</v>
      </c>
      <c r="S185" s="499">
        <f t="shared" si="87"/>
        <v>84200</v>
      </c>
    </row>
    <row r="186" spans="1:19" s="92" customFormat="1" ht="98.45" hidden="1" customHeight="1" outlineLevel="1" collapsed="1" x14ac:dyDescent="0.2">
      <c r="A186" s="339" t="str">
        <f t="shared" si="88"/>
        <v>Реализация основных общеобразовательных программ дошкольного образования Обучающиеся с ограниченными возможностями здоровья (ОВЗ) От 1 года до 3 лет Очная группа полного дня</v>
      </c>
      <c r="B186" s="471" t="s">
        <v>377</v>
      </c>
      <c r="C186" s="175"/>
      <c r="D186" s="175"/>
      <c r="E186" s="175"/>
      <c r="F186" s="176">
        <f>'Общий 2022'!F9</f>
        <v>8932.92</v>
      </c>
      <c r="G186" s="176">
        <f>'Общий 2022'!G9</f>
        <v>490.65999999999997</v>
      </c>
      <c r="H186" s="176">
        <f>'Общий 2022'!H9</f>
        <v>158.88</v>
      </c>
      <c r="I186" s="176">
        <f>'Общий 2022'!I9</f>
        <v>393.6</v>
      </c>
      <c r="J186" s="176"/>
      <c r="K186" s="176"/>
      <c r="L186" s="176">
        <f>'Общий 2022'!L9</f>
        <v>613.29</v>
      </c>
      <c r="M186" s="181"/>
      <c r="N186" s="181"/>
      <c r="O186" s="765">
        <f>SUM(O187:O195)</f>
        <v>2</v>
      </c>
      <c r="P186" s="176"/>
      <c r="Q186" s="176">
        <f>SUM(Q187:Q195)</f>
        <v>19600</v>
      </c>
      <c r="R186" s="189"/>
    </row>
    <row r="187" spans="1:19" s="92" customFormat="1" ht="15.6" hidden="1" customHeight="1" outlineLevel="2" x14ac:dyDescent="0.2">
      <c r="A187" s="90" t="str">
        <f t="shared" si="88"/>
        <v>МАДОУ ЦРР-детский сад № 2</v>
      </c>
      <c r="B187" s="178"/>
      <c r="C187" s="178"/>
      <c r="D187" s="178"/>
      <c r="E187" s="178"/>
      <c r="F187" s="155">
        <f>F186</f>
        <v>8932.92</v>
      </c>
      <c r="G187" s="155">
        <f t="shared" ref="G187:L187" si="105">G186</f>
        <v>490.65999999999997</v>
      </c>
      <c r="H187" s="155">
        <f t="shared" si="105"/>
        <v>158.88</v>
      </c>
      <c r="I187" s="155">
        <f t="shared" si="105"/>
        <v>393.6</v>
      </c>
      <c r="J187" s="155"/>
      <c r="K187" s="155"/>
      <c r="L187" s="155">
        <f t="shared" si="105"/>
        <v>613.29</v>
      </c>
      <c r="M187" s="182">
        <f t="shared" ref="M187:O195" si="106">M27</f>
        <v>1</v>
      </c>
      <c r="N187" s="182">
        <f t="shared" si="106"/>
        <v>1.0249999999999999</v>
      </c>
      <c r="O187" s="767">
        <f t="shared" si="106"/>
        <v>0</v>
      </c>
      <c r="P187" s="182"/>
      <c r="Q187" s="155">
        <f>ROUND(ROUND((C187+D187+E187+F187+G187+H187+I187+J187+K187+L187)*M187*N187,2)*O187-P187,-2)</f>
        <v>0</v>
      </c>
      <c r="R187" s="189">
        <f>(B187+C187+D187+E187+F187+G187+H187+I187+J187+K187+L187)*M187*N187</f>
        <v>10854.083749999998</v>
      </c>
    </row>
    <row r="188" spans="1:19" s="92" customFormat="1" ht="18" hidden="1" customHeight="1" outlineLevel="2" x14ac:dyDescent="0.2">
      <c r="A188" s="90" t="str">
        <f t="shared" si="88"/>
        <v>МАДОУ ЦРР-детский сад № 11</v>
      </c>
      <c r="B188" s="178"/>
      <c r="C188" s="178"/>
      <c r="D188" s="178"/>
      <c r="E188" s="178"/>
      <c r="F188" s="155">
        <f t="shared" ref="F188:I195" si="107">F187</f>
        <v>8932.92</v>
      </c>
      <c r="G188" s="155">
        <f t="shared" si="107"/>
        <v>490.65999999999997</v>
      </c>
      <c r="H188" s="155">
        <f t="shared" si="107"/>
        <v>158.88</v>
      </c>
      <c r="I188" s="155">
        <f t="shared" si="107"/>
        <v>393.6</v>
      </c>
      <c r="J188" s="155"/>
      <c r="K188" s="155"/>
      <c r="L188" s="155">
        <f t="shared" ref="L188" si="108">L187</f>
        <v>613.29</v>
      </c>
      <c r="M188" s="182">
        <f t="shared" si="106"/>
        <v>1</v>
      </c>
      <c r="N188" s="182">
        <f t="shared" si="106"/>
        <v>0.93799999999999994</v>
      </c>
      <c r="O188" s="767">
        <f t="shared" si="106"/>
        <v>0</v>
      </c>
      <c r="P188" s="182"/>
      <c r="Q188" s="806">
        <f t="shared" ref="Q188:Q195" si="109">ROUND(ROUND((C188+D188+E188+F188+G188+H188+I188+J188+K188+L188)*M188*N188,2)*O188-P188,-2)</f>
        <v>0</v>
      </c>
      <c r="R188" s="189">
        <f t="shared" si="98"/>
        <v>9932.8102999999974</v>
      </c>
    </row>
    <row r="189" spans="1:19" s="92" customFormat="1" ht="18.600000000000001" hidden="1" customHeight="1" outlineLevel="2" x14ac:dyDescent="0.2">
      <c r="A189" s="90" t="str">
        <f t="shared" si="88"/>
        <v>МАДОУ ЦРР-детский сад № 13</v>
      </c>
      <c r="B189" s="178"/>
      <c r="C189" s="178"/>
      <c r="D189" s="178"/>
      <c r="E189" s="178"/>
      <c r="F189" s="155">
        <f t="shared" si="107"/>
        <v>8932.92</v>
      </c>
      <c r="G189" s="155">
        <f t="shared" si="107"/>
        <v>490.65999999999997</v>
      </c>
      <c r="H189" s="155">
        <f t="shared" si="107"/>
        <v>158.88</v>
      </c>
      <c r="I189" s="155">
        <f t="shared" si="107"/>
        <v>393.6</v>
      </c>
      <c r="J189" s="155"/>
      <c r="K189" s="155"/>
      <c r="L189" s="155">
        <f t="shared" ref="L189" si="110">L188</f>
        <v>613.29</v>
      </c>
      <c r="M189" s="182">
        <f t="shared" si="106"/>
        <v>1</v>
      </c>
      <c r="N189" s="182">
        <f t="shared" si="106"/>
        <v>0.96399999999999997</v>
      </c>
      <c r="O189" s="767">
        <f t="shared" si="106"/>
        <v>1</v>
      </c>
      <c r="P189" s="182"/>
      <c r="Q189" s="806">
        <f t="shared" si="109"/>
        <v>10200</v>
      </c>
      <c r="R189" s="189">
        <f t="shared" si="98"/>
        <v>10208.133399999999</v>
      </c>
    </row>
    <row r="190" spans="1:19" s="92" customFormat="1" ht="28.15" hidden="1" customHeight="1" outlineLevel="2" x14ac:dyDescent="0.2">
      <c r="A190" s="90" t="str">
        <f t="shared" si="88"/>
        <v>МАОУ СОШ № 1 структурное подразделение</v>
      </c>
      <c r="B190" s="178"/>
      <c r="C190" s="178"/>
      <c r="D190" s="178"/>
      <c r="E190" s="178"/>
      <c r="F190" s="155">
        <f t="shared" si="107"/>
        <v>8932.92</v>
      </c>
      <c r="G190" s="155">
        <f t="shared" si="107"/>
        <v>490.65999999999997</v>
      </c>
      <c r="H190" s="155">
        <f t="shared" si="107"/>
        <v>158.88</v>
      </c>
      <c r="I190" s="155">
        <f t="shared" si="107"/>
        <v>393.6</v>
      </c>
      <c r="J190" s="155"/>
      <c r="K190" s="155"/>
      <c r="L190" s="155">
        <f t="shared" ref="L190" si="111">L189</f>
        <v>613.29</v>
      </c>
      <c r="M190" s="182">
        <f t="shared" si="106"/>
        <v>1</v>
      </c>
      <c r="N190" s="182">
        <f t="shared" si="106"/>
        <v>0.88800000000000001</v>
      </c>
      <c r="O190" s="767">
        <f t="shared" si="106"/>
        <v>1</v>
      </c>
      <c r="P190" s="182"/>
      <c r="Q190" s="806">
        <f t="shared" si="109"/>
        <v>9400</v>
      </c>
      <c r="R190" s="189">
        <f t="shared" si="98"/>
        <v>9403.3427999999985</v>
      </c>
    </row>
    <row r="191" spans="1:19" s="92" customFormat="1" ht="42.6" hidden="1" customHeight="1" outlineLevel="2" x14ac:dyDescent="0.2">
      <c r="A191" s="90" t="str">
        <f t="shared" si="88"/>
        <v>МАОУ СОШ № 2 им.М.И.Грибушина структурное подразделение</v>
      </c>
      <c r="B191" s="178"/>
      <c r="C191" s="178"/>
      <c r="D191" s="178"/>
      <c r="E191" s="178"/>
      <c r="F191" s="155">
        <f t="shared" si="107"/>
        <v>8932.92</v>
      </c>
      <c r="G191" s="155">
        <f t="shared" si="107"/>
        <v>490.65999999999997</v>
      </c>
      <c r="H191" s="155">
        <f t="shared" si="107"/>
        <v>158.88</v>
      </c>
      <c r="I191" s="155">
        <f t="shared" si="107"/>
        <v>393.6</v>
      </c>
      <c r="J191" s="155"/>
      <c r="K191" s="155"/>
      <c r="L191" s="155">
        <f t="shared" ref="L191" si="112">L190</f>
        <v>613.29</v>
      </c>
      <c r="M191" s="182">
        <f t="shared" si="106"/>
        <v>1</v>
      </c>
      <c r="N191" s="182">
        <f t="shared" si="106"/>
        <v>1.012</v>
      </c>
      <c r="O191" s="767">
        <f t="shared" si="106"/>
        <v>0</v>
      </c>
      <c r="P191" s="182"/>
      <c r="Q191" s="806">
        <f t="shared" si="109"/>
        <v>0</v>
      </c>
      <c r="R191" s="189">
        <f t="shared" si="98"/>
        <v>10716.422199999999</v>
      </c>
    </row>
    <row r="192" spans="1:19" s="92" customFormat="1" ht="28.15" hidden="1" customHeight="1" outlineLevel="2" x14ac:dyDescent="0.2">
      <c r="A192" s="90" t="str">
        <f t="shared" si="88"/>
        <v>МАОУ СОШ № 10 структурное подразделение</v>
      </c>
      <c r="B192" s="178"/>
      <c r="C192" s="178"/>
      <c r="D192" s="178"/>
      <c r="E192" s="178"/>
      <c r="F192" s="155">
        <f t="shared" si="107"/>
        <v>8932.92</v>
      </c>
      <c r="G192" s="155">
        <f t="shared" si="107"/>
        <v>490.65999999999997</v>
      </c>
      <c r="H192" s="155">
        <f t="shared" si="107"/>
        <v>158.88</v>
      </c>
      <c r="I192" s="155">
        <f t="shared" si="107"/>
        <v>393.6</v>
      </c>
      <c r="J192" s="155"/>
      <c r="K192" s="155"/>
      <c r="L192" s="155">
        <f t="shared" ref="L192" si="113">L191</f>
        <v>613.29</v>
      </c>
      <c r="M192" s="182">
        <f t="shared" si="106"/>
        <v>1</v>
      </c>
      <c r="N192" s="182">
        <f t="shared" si="106"/>
        <v>0.82899999999999996</v>
      </c>
      <c r="O192" s="767">
        <f t="shared" si="106"/>
        <v>0</v>
      </c>
      <c r="P192" s="182"/>
      <c r="Q192" s="806">
        <f t="shared" si="109"/>
        <v>0</v>
      </c>
      <c r="R192" s="189">
        <f t="shared" si="98"/>
        <v>8778.5711499999979</v>
      </c>
    </row>
    <row r="193" spans="1:18" s="92" customFormat="1" ht="28.15" hidden="1" customHeight="1" outlineLevel="2" x14ac:dyDescent="0.2">
      <c r="A193" s="90" t="str">
        <f t="shared" si="88"/>
        <v>МАОУ СОШ № 13 структурное подразделение</v>
      </c>
      <c r="B193" s="178"/>
      <c r="C193" s="178"/>
      <c r="D193" s="178"/>
      <c r="E193" s="178"/>
      <c r="F193" s="155">
        <f t="shared" si="107"/>
        <v>8932.92</v>
      </c>
      <c r="G193" s="155">
        <f t="shared" si="107"/>
        <v>490.65999999999997</v>
      </c>
      <c r="H193" s="155">
        <f t="shared" si="107"/>
        <v>158.88</v>
      </c>
      <c r="I193" s="155">
        <f t="shared" si="107"/>
        <v>393.6</v>
      </c>
      <c r="J193" s="155"/>
      <c r="K193" s="155"/>
      <c r="L193" s="155">
        <f t="shared" ref="L193" si="114">L192</f>
        <v>613.29</v>
      </c>
      <c r="M193" s="182">
        <f t="shared" si="106"/>
        <v>1</v>
      </c>
      <c r="N193" s="182">
        <f t="shared" si="106"/>
        <v>1.284</v>
      </c>
      <c r="O193" s="767">
        <f t="shared" si="106"/>
        <v>0</v>
      </c>
      <c r="P193" s="182"/>
      <c r="Q193" s="806">
        <f t="shared" si="109"/>
        <v>0</v>
      </c>
      <c r="R193" s="189">
        <f t="shared" si="98"/>
        <v>13596.725399999999</v>
      </c>
    </row>
    <row r="194" spans="1:18" s="92" customFormat="1" ht="28.15" hidden="1" customHeight="1" outlineLevel="2" x14ac:dyDescent="0.2">
      <c r="A194" s="90" t="str">
        <f t="shared" si="88"/>
        <v>Гимназия № 16 структурное подразделение</v>
      </c>
      <c r="B194" s="178"/>
      <c r="C194" s="178"/>
      <c r="D194" s="178"/>
      <c r="E194" s="178"/>
      <c r="F194" s="155">
        <f t="shared" si="107"/>
        <v>8932.92</v>
      </c>
      <c r="G194" s="155">
        <f t="shared" si="107"/>
        <v>490.65999999999997</v>
      </c>
      <c r="H194" s="155">
        <f t="shared" si="107"/>
        <v>158.88</v>
      </c>
      <c r="I194" s="155">
        <f t="shared" si="107"/>
        <v>393.6</v>
      </c>
      <c r="J194" s="155"/>
      <c r="K194" s="155"/>
      <c r="L194" s="155">
        <f t="shared" ref="L194" si="115">L193</f>
        <v>613.29</v>
      </c>
      <c r="M194" s="182">
        <f t="shared" si="106"/>
        <v>1</v>
      </c>
      <c r="N194" s="182">
        <f t="shared" si="106"/>
        <v>1.2290000000000001</v>
      </c>
      <c r="O194" s="767">
        <f t="shared" si="106"/>
        <v>0</v>
      </c>
      <c r="P194" s="182"/>
      <c r="Q194" s="806">
        <f t="shared" si="109"/>
        <v>0</v>
      </c>
      <c r="R194" s="189">
        <f t="shared" si="98"/>
        <v>13014.31115</v>
      </c>
    </row>
    <row r="195" spans="1:18" s="92" customFormat="1" ht="45" hidden="1" customHeight="1" outlineLevel="2" x14ac:dyDescent="0.2">
      <c r="A195" s="90" t="str">
        <f t="shared" si="88"/>
        <v>МАОУ ООШ № 17 с кадетскими классами структурное подразделение</v>
      </c>
      <c r="B195" s="178"/>
      <c r="C195" s="178"/>
      <c r="D195" s="178"/>
      <c r="E195" s="178"/>
      <c r="F195" s="155">
        <f t="shared" si="107"/>
        <v>8932.92</v>
      </c>
      <c r="G195" s="155">
        <f t="shared" si="107"/>
        <v>490.65999999999997</v>
      </c>
      <c r="H195" s="155">
        <f t="shared" si="107"/>
        <v>158.88</v>
      </c>
      <c r="I195" s="155">
        <f t="shared" si="107"/>
        <v>393.6</v>
      </c>
      <c r="J195" s="155"/>
      <c r="K195" s="155"/>
      <c r="L195" s="155">
        <f t="shared" ref="L195" si="116">L194</f>
        <v>613.29</v>
      </c>
      <c r="M195" s="182">
        <f t="shared" si="106"/>
        <v>1</v>
      </c>
      <c r="N195" s="182">
        <f t="shared" si="106"/>
        <v>2.5430000000000001</v>
      </c>
      <c r="O195" s="767">
        <f t="shared" si="106"/>
        <v>0</v>
      </c>
      <c r="P195" s="182"/>
      <c r="Q195" s="806">
        <f t="shared" si="109"/>
        <v>0</v>
      </c>
      <c r="R195" s="189">
        <f t="shared" si="98"/>
        <v>26928.717049999999</v>
      </c>
    </row>
    <row r="196" spans="1:18" ht="95.25" hidden="1" customHeight="1" outlineLevel="1" collapsed="1" x14ac:dyDescent="0.2">
      <c r="A196" s="177" t="str">
        <f t="shared" si="88"/>
        <v>Реализация основных общеобразовательных программ дошкольного образования Обучающиеся с ограниченными возможностями здоровья (ОВЗ) От 3 лет до 8 лет Очная группа полного дня</v>
      </c>
      <c r="B196" s="175" t="str">
        <f>B36</f>
        <v>801011О.99.0.БВ24ВЭ62000</v>
      </c>
      <c r="C196" s="175"/>
      <c r="D196" s="175"/>
      <c r="E196" s="175"/>
      <c r="F196" s="176">
        <f>'Общий 2022'!F10</f>
        <v>8932.92</v>
      </c>
      <c r="G196" s="176">
        <f>'Общий 2022'!G10</f>
        <v>490.65999999999997</v>
      </c>
      <c r="H196" s="176">
        <f>'Общий 2022'!H10</f>
        <v>158.88</v>
      </c>
      <c r="I196" s="176">
        <f>'Общий 2022'!I10</f>
        <v>393.6</v>
      </c>
      <c r="J196" s="176"/>
      <c r="K196" s="176"/>
      <c r="L196" s="176">
        <f>'Общий 2022'!L10</f>
        <v>521.6</v>
      </c>
      <c r="M196" s="181"/>
      <c r="N196" s="181"/>
      <c r="O196" s="765">
        <f>SUM(O197:O205)</f>
        <v>181</v>
      </c>
      <c r="P196" s="175"/>
      <c r="Q196" s="176">
        <f>SUM(Q197:Q205)</f>
        <v>1907200</v>
      </c>
      <c r="R196" s="186"/>
    </row>
    <row r="197" spans="1:18" s="92" customFormat="1" ht="12.95" hidden="1" customHeight="1" outlineLevel="2" x14ac:dyDescent="0.2">
      <c r="A197" s="90" t="str">
        <f t="shared" si="88"/>
        <v>МАДОУ ЦРР-детский сад № 2</v>
      </c>
      <c r="B197" s="178"/>
      <c r="C197" s="178"/>
      <c r="D197" s="178"/>
      <c r="E197" s="178"/>
      <c r="F197" s="155">
        <f>$F$196</f>
        <v>8932.92</v>
      </c>
      <c r="G197" s="155">
        <f>$G$196</f>
        <v>490.65999999999997</v>
      </c>
      <c r="H197" s="155">
        <f>$H$196</f>
        <v>158.88</v>
      </c>
      <c r="I197" s="155">
        <f>$I$196</f>
        <v>393.6</v>
      </c>
      <c r="J197" s="155"/>
      <c r="K197" s="155"/>
      <c r="L197" s="155">
        <f>$L$196</f>
        <v>521.6</v>
      </c>
      <c r="M197" s="182">
        <f t="shared" ref="M197:O205" si="117">M37</f>
        <v>1</v>
      </c>
      <c r="N197" s="182">
        <f t="shared" si="117"/>
        <v>1.0249999999999999</v>
      </c>
      <c r="O197" s="767">
        <f t="shared" si="117"/>
        <v>41</v>
      </c>
      <c r="P197" s="179"/>
      <c r="Q197" s="155">
        <f>ROUND(ROUND((C197+D197+E197+F197+G197+H197+I197+J197+K197+L197)*M197*N197,2)*O197-P197,-2)</f>
        <v>441200</v>
      </c>
      <c r="R197" s="189">
        <f t="shared" ref="R197:R215" si="118">(B197+C197+D197+E197+F197+G197+H197+I197+J197+K197+L197)*M197*N197</f>
        <v>10760.101499999999</v>
      </c>
    </row>
    <row r="198" spans="1:18" s="92" customFormat="1" ht="12.95" hidden="1" customHeight="1" outlineLevel="2" x14ac:dyDescent="0.2">
      <c r="A198" s="90" t="str">
        <f t="shared" si="88"/>
        <v>МАДОУ ЦРР-детский сад № 11</v>
      </c>
      <c r="B198" s="178"/>
      <c r="C198" s="178"/>
      <c r="D198" s="178"/>
      <c r="E198" s="178"/>
      <c r="F198" s="155">
        <f t="shared" ref="F198:F205" si="119">$F$196</f>
        <v>8932.92</v>
      </c>
      <c r="G198" s="155">
        <f t="shared" ref="G198:G205" si="120">$G$196</f>
        <v>490.65999999999997</v>
      </c>
      <c r="H198" s="155">
        <f t="shared" ref="H198:H205" si="121">$H$196</f>
        <v>158.88</v>
      </c>
      <c r="I198" s="155">
        <f t="shared" ref="I198:I205" si="122">$I$196</f>
        <v>393.6</v>
      </c>
      <c r="J198" s="155"/>
      <c r="K198" s="155"/>
      <c r="L198" s="155">
        <f t="shared" ref="L198:L205" si="123">$L$196</f>
        <v>521.6</v>
      </c>
      <c r="M198" s="182">
        <f t="shared" si="117"/>
        <v>1</v>
      </c>
      <c r="N198" s="182">
        <f t="shared" si="117"/>
        <v>0.93799999999999994</v>
      </c>
      <c r="O198" s="767">
        <f t="shared" si="117"/>
        <v>34</v>
      </c>
      <c r="P198" s="179"/>
      <c r="Q198" s="806">
        <f t="shared" ref="Q198:Q205" si="124">ROUND(ROUND((C198+D198+E198+F198+G198+H198+I198+J198+K198+L198)*M198*N198,2)*O198-P198,-2)</f>
        <v>334800</v>
      </c>
      <c r="R198" s="189">
        <f t="shared" si="118"/>
        <v>9846.8050800000001</v>
      </c>
    </row>
    <row r="199" spans="1:18" s="92" customFormat="1" ht="12.95" hidden="1" customHeight="1" outlineLevel="2" x14ac:dyDescent="0.2">
      <c r="A199" s="90" t="str">
        <f t="shared" ref="A199:A230" si="125">A39</f>
        <v>МАДОУ ЦРР-детский сад № 13</v>
      </c>
      <c r="B199" s="178"/>
      <c r="C199" s="178"/>
      <c r="D199" s="178"/>
      <c r="E199" s="178"/>
      <c r="F199" s="155">
        <f t="shared" si="119"/>
        <v>8932.92</v>
      </c>
      <c r="G199" s="155">
        <f t="shared" si="120"/>
        <v>490.65999999999997</v>
      </c>
      <c r="H199" s="155">
        <f t="shared" si="121"/>
        <v>158.88</v>
      </c>
      <c r="I199" s="155">
        <f t="shared" si="122"/>
        <v>393.6</v>
      </c>
      <c r="J199" s="155"/>
      <c r="K199" s="155"/>
      <c r="L199" s="155">
        <f t="shared" si="123"/>
        <v>521.6</v>
      </c>
      <c r="M199" s="182">
        <f t="shared" si="117"/>
        <v>1</v>
      </c>
      <c r="N199" s="182">
        <f t="shared" si="117"/>
        <v>0.96399999999999997</v>
      </c>
      <c r="O199" s="767">
        <f t="shared" si="117"/>
        <v>30</v>
      </c>
      <c r="P199" s="179"/>
      <c r="Q199" s="806">
        <f t="shared" si="124"/>
        <v>303600</v>
      </c>
      <c r="R199" s="189">
        <f t="shared" si="118"/>
        <v>10119.74424</v>
      </c>
    </row>
    <row r="200" spans="1:18" s="92" customFormat="1" ht="27.6" hidden="1" customHeight="1" outlineLevel="2" x14ac:dyDescent="0.2">
      <c r="A200" s="90" t="str">
        <f t="shared" si="125"/>
        <v>МАОУ СОШ № 1 структурное подразделение</v>
      </c>
      <c r="B200" s="178"/>
      <c r="C200" s="178"/>
      <c r="D200" s="178"/>
      <c r="E200" s="178"/>
      <c r="F200" s="155">
        <f t="shared" si="119"/>
        <v>8932.92</v>
      </c>
      <c r="G200" s="155">
        <f t="shared" si="120"/>
        <v>490.65999999999997</v>
      </c>
      <c r="H200" s="155">
        <f t="shared" si="121"/>
        <v>158.88</v>
      </c>
      <c r="I200" s="155">
        <f t="shared" si="122"/>
        <v>393.6</v>
      </c>
      <c r="J200" s="155"/>
      <c r="K200" s="155"/>
      <c r="L200" s="155">
        <f t="shared" si="123"/>
        <v>521.6</v>
      </c>
      <c r="M200" s="182">
        <f t="shared" si="117"/>
        <v>1</v>
      </c>
      <c r="N200" s="182">
        <f t="shared" si="117"/>
        <v>0.88800000000000001</v>
      </c>
      <c r="O200" s="767">
        <f t="shared" si="117"/>
        <v>21</v>
      </c>
      <c r="P200" s="179"/>
      <c r="Q200" s="806">
        <f t="shared" si="124"/>
        <v>195800</v>
      </c>
      <c r="R200" s="189">
        <f t="shared" si="118"/>
        <v>9321.9220800000003</v>
      </c>
    </row>
    <row r="201" spans="1:18" s="92" customFormat="1" ht="43.9" hidden="1" customHeight="1" outlineLevel="2" x14ac:dyDescent="0.2">
      <c r="A201" s="90" t="str">
        <f t="shared" si="125"/>
        <v>МАОУ СОШ № 2 им.М.И.Грибушина структурное подразделение</v>
      </c>
      <c r="B201" s="178"/>
      <c r="C201" s="178"/>
      <c r="D201" s="178"/>
      <c r="E201" s="178"/>
      <c r="F201" s="155">
        <f t="shared" si="119"/>
        <v>8932.92</v>
      </c>
      <c r="G201" s="155">
        <f t="shared" si="120"/>
        <v>490.65999999999997</v>
      </c>
      <c r="H201" s="155">
        <f t="shared" si="121"/>
        <v>158.88</v>
      </c>
      <c r="I201" s="155">
        <f t="shared" si="122"/>
        <v>393.6</v>
      </c>
      <c r="J201" s="155"/>
      <c r="K201" s="155"/>
      <c r="L201" s="155">
        <f t="shared" si="123"/>
        <v>521.6</v>
      </c>
      <c r="M201" s="182">
        <f t="shared" si="117"/>
        <v>1</v>
      </c>
      <c r="N201" s="182">
        <f t="shared" si="117"/>
        <v>1.012</v>
      </c>
      <c r="O201" s="767">
        <f t="shared" si="117"/>
        <v>18</v>
      </c>
      <c r="P201" s="179"/>
      <c r="Q201" s="806">
        <f t="shared" si="124"/>
        <v>191200</v>
      </c>
      <c r="R201" s="189">
        <f t="shared" si="118"/>
        <v>10623.63192</v>
      </c>
    </row>
    <row r="202" spans="1:18" s="92" customFormat="1" ht="31.15" hidden="1" customHeight="1" outlineLevel="2" x14ac:dyDescent="0.2">
      <c r="A202" s="90" t="str">
        <f t="shared" si="125"/>
        <v>МАОУ СОШ № 10 структурное подразделение</v>
      </c>
      <c r="B202" s="178"/>
      <c r="C202" s="178"/>
      <c r="D202" s="178"/>
      <c r="E202" s="178"/>
      <c r="F202" s="155">
        <f t="shared" si="119"/>
        <v>8932.92</v>
      </c>
      <c r="G202" s="155">
        <f t="shared" si="120"/>
        <v>490.65999999999997</v>
      </c>
      <c r="H202" s="155">
        <f t="shared" si="121"/>
        <v>158.88</v>
      </c>
      <c r="I202" s="155">
        <f t="shared" si="122"/>
        <v>393.6</v>
      </c>
      <c r="J202" s="155"/>
      <c r="K202" s="155"/>
      <c r="L202" s="155">
        <f t="shared" si="123"/>
        <v>521.6</v>
      </c>
      <c r="M202" s="182">
        <f t="shared" si="117"/>
        <v>1</v>
      </c>
      <c r="N202" s="182">
        <f t="shared" si="117"/>
        <v>0.82899999999999996</v>
      </c>
      <c r="O202" s="767">
        <f t="shared" si="117"/>
        <v>13</v>
      </c>
      <c r="P202" s="179"/>
      <c r="Q202" s="806">
        <f t="shared" si="124"/>
        <v>113100</v>
      </c>
      <c r="R202" s="189">
        <f t="shared" si="118"/>
        <v>8702.5601399999996</v>
      </c>
    </row>
    <row r="203" spans="1:18" s="92" customFormat="1" ht="34.15" hidden="1" customHeight="1" outlineLevel="2" x14ac:dyDescent="0.2">
      <c r="A203" s="90" t="str">
        <f t="shared" si="125"/>
        <v>МАОУ СОШ № 13 структурное подразделение</v>
      </c>
      <c r="B203" s="178"/>
      <c r="C203" s="178"/>
      <c r="D203" s="178"/>
      <c r="E203" s="178"/>
      <c r="F203" s="155">
        <f t="shared" si="119"/>
        <v>8932.92</v>
      </c>
      <c r="G203" s="155">
        <f t="shared" si="120"/>
        <v>490.65999999999997</v>
      </c>
      <c r="H203" s="155">
        <f t="shared" si="121"/>
        <v>158.88</v>
      </c>
      <c r="I203" s="155">
        <f t="shared" si="122"/>
        <v>393.6</v>
      </c>
      <c r="J203" s="155"/>
      <c r="K203" s="155"/>
      <c r="L203" s="155">
        <f t="shared" si="123"/>
        <v>521.6</v>
      </c>
      <c r="M203" s="182">
        <f t="shared" si="117"/>
        <v>1</v>
      </c>
      <c r="N203" s="182">
        <f t="shared" si="117"/>
        <v>1.284</v>
      </c>
      <c r="O203" s="767">
        <f t="shared" si="117"/>
        <v>7</v>
      </c>
      <c r="P203" s="179"/>
      <c r="Q203" s="806">
        <f t="shared" si="124"/>
        <v>94400</v>
      </c>
      <c r="R203" s="189">
        <f t="shared" si="118"/>
        <v>13478.995440000001</v>
      </c>
    </row>
    <row r="204" spans="1:18" s="92" customFormat="1" ht="31.15" hidden="1" customHeight="1" outlineLevel="2" x14ac:dyDescent="0.2">
      <c r="A204" s="90" t="str">
        <f t="shared" si="125"/>
        <v>Гимназия № 16 структурное подразделение</v>
      </c>
      <c r="B204" s="178"/>
      <c r="C204" s="178"/>
      <c r="D204" s="178"/>
      <c r="E204" s="178"/>
      <c r="F204" s="155">
        <f t="shared" si="119"/>
        <v>8932.92</v>
      </c>
      <c r="G204" s="155">
        <f t="shared" si="120"/>
        <v>490.65999999999997</v>
      </c>
      <c r="H204" s="155">
        <f t="shared" si="121"/>
        <v>158.88</v>
      </c>
      <c r="I204" s="155">
        <f t="shared" si="122"/>
        <v>393.6</v>
      </c>
      <c r="J204" s="155"/>
      <c r="K204" s="155"/>
      <c r="L204" s="155">
        <f t="shared" si="123"/>
        <v>521.6</v>
      </c>
      <c r="M204" s="182">
        <f t="shared" si="117"/>
        <v>1</v>
      </c>
      <c r="N204" s="182">
        <f t="shared" si="117"/>
        <v>1.2290000000000001</v>
      </c>
      <c r="O204" s="767">
        <f t="shared" si="117"/>
        <v>16</v>
      </c>
      <c r="P204" s="179"/>
      <c r="Q204" s="806">
        <f t="shared" si="124"/>
        <v>206400</v>
      </c>
      <c r="R204" s="189">
        <f t="shared" si="118"/>
        <v>12901.62414</v>
      </c>
    </row>
    <row r="205" spans="1:18" s="92" customFormat="1" ht="45" hidden="1" customHeight="1" outlineLevel="2" x14ac:dyDescent="0.2">
      <c r="A205" s="90" t="str">
        <f t="shared" si="125"/>
        <v>МАОУ ООШ № 17 с кадетскими классами структурное подразделение</v>
      </c>
      <c r="B205" s="178"/>
      <c r="C205" s="178"/>
      <c r="D205" s="178"/>
      <c r="E205" s="178"/>
      <c r="F205" s="155">
        <f t="shared" si="119"/>
        <v>8932.92</v>
      </c>
      <c r="G205" s="155">
        <f t="shared" si="120"/>
        <v>490.65999999999997</v>
      </c>
      <c r="H205" s="155">
        <f t="shared" si="121"/>
        <v>158.88</v>
      </c>
      <c r="I205" s="155">
        <f t="shared" si="122"/>
        <v>393.6</v>
      </c>
      <c r="J205" s="155"/>
      <c r="K205" s="155"/>
      <c r="L205" s="155">
        <f t="shared" si="123"/>
        <v>521.6</v>
      </c>
      <c r="M205" s="182">
        <f t="shared" si="117"/>
        <v>1</v>
      </c>
      <c r="N205" s="182">
        <f t="shared" si="117"/>
        <v>2.5430000000000001</v>
      </c>
      <c r="O205" s="767">
        <f t="shared" si="117"/>
        <v>1</v>
      </c>
      <c r="P205" s="179"/>
      <c r="Q205" s="806">
        <f t="shared" si="124"/>
        <v>26700</v>
      </c>
      <c r="R205" s="189">
        <f t="shared" si="118"/>
        <v>26695.54938</v>
      </c>
    </row>
    <row r="206" spans="1:18" ht="110.25" hidden="1" customHeight="1" outlineLevel="1" collapsed="1" x14ac:dyDescent="0.2">
      <c r="A206" s="177" t="str">
        <f t="shared" si="125"/>
        <v>Реализация основных общеобразовательных программ дошкольного образования Адаптированная образовательная программа От 3 лет до 8 лет Очная группа полного дня</v>
      </c>
      <c r="B206" s="175" t="str">
        <f>B46</f>
        <v>801011О.99.0.БВ24АВ42000</v>
      </c>
      <c r="C206" s="175"/>
      <c r="D206" s="175"/>
      <c r="E206" s="175"/>
      <c r="F206" s="176">
        <f>'Общий 2022'!F11</f>
        <v>8932.92</v>
      </c>
      <c r="G206" s="176">
        <f>'Общий 2022'!G11</f>
        <v>490.65999999999997</v>
      </c>
      <c r="H206" s="176">
        <f>'Общий 2022'!H11</f>
        <v>158.88</v>
      </c>
      <c r="I206" s="176">
        <f>'Общий 2022'!I11</f>
        <v>393.6</v>
      </c>
      <c r="J206" s="176"/>
      <c r="K206" s="176"/>
      <c r="L206" s="176">
        <f>'Общий 2022'!L11</f>
        <v>521.6</v>
      </c>
      <c r="M206" s="181"/>
      <c r="N206" s="181"/>
      <c r="O206" s="765">
        <f>SUM(O207:O215)</f>
        <v>104</v>
      </c>
      <c r="P206" s="175"/>
      <c r="Q206" s="176">
        <f>SUM(Q207:Q215)</f>
        <v>1815900</v>
      </c>
      <c r="R206" s="186"/>
    </row>
    <row r="207" spans="1:18" s="92" customFormat="1" ht="12.95" hidden="1" customHeight="1" outlineLevel="2" x14ac:dyDescent="0.2">
      <c r="A207" s="90" t="str">
        <f t="shared" si="125"/>
        <v>МАДОУ ЦРР-детский сад № 2</v>
      </c>
      <c r="B207" s="178"/>
      <c r="C207" s="178"/>
      <c r="D207" s="178"/>
      <c r="E207" s="178"/>
      <c r="F207" s="155">
        <f>$F$206</f>
        <v>8932.92</v>
      </c>
      <c r="G207" s="155">
        <f>$G$206</f>
        <v>490.65999999999997</v>
      </c>
      <c r="H207" s="155">
        <f>$H$206</f>
        <v>158.88</v>
      </c>
      <c r="I207" s="155">
        <f>$I$206</f>
        <v>393.6</v>
      </c>
      <c r="J207" s="155"/>
      <c r="K207" s="155"/>
      <c r="L207" s="155">
        <f>$L$206</f>
        <v>521.6</v>
      </c>
      <c r="M207" s="182">
        <f t="shared" ref="M207:O215" si="126">M47</f>
        <v>1.7330000000000001</v>
      </c>
      <c r="N207" s="182">
        <f t="shared" si="126"/>
        <v>1.0249999999999999</v>
      </c>
      <c r="O207" s="767">
        <f t="shared" si="126"/>
        <v>0</v>
      </c>
      <c r="P207" s="179"/>
      <c r="Q207" s="155">
        <f>ROUND(ROUND((C207+D207+E207+F207+G207+H207+I207+J207+K207+L207)*M207*N207,2)*O207-P207,-2)</f>
        <v>0</v>
      </c>
      <c r="R207" s="189">
        <f t="shared" si="118"/>
        <v>18647.2558995</v>
      </c>
    </row>
    <row r="208" spans="1:18" s="92" customFormat="1" ht="12.95" hidden="1" customHeight="1" outlineLevel="2" x14ac:dyDescent="0.2">
      <c r="A208" s="90" t="str">
        <f t="shared" si="125"/>
        <v>МАДОУ ЦРР-детский сад № 11</v>
      </c>
      <c r="B208" s="178"/>
      <c r="C208" s="178"/>
      <c r="D208" s="178"/>
      <c r="E208" s="178"/>
      <c r="F208" s="155">
        <f t="shared" ref="F208:F215" si="127">$F$206</f>
        <v>8932.92</v>
      </c>
      <c r="G208" s="155">
        <f t="shared" ref="G208:G215" si="128">$G$206</f>
        <v>490.65999999999997</v>
      </c>
      <c r="H208" s="155">
        <f t="shared" ref="H208:H215" si="129">$H$206</f>
        <v>158.88</v>
      </c>
      <c r="I208" s="155">
        <f t="shared" ref="I208:I215" si="130">$I$196</f>
        <v>393.6</v>
      </c>
      <c r="J208" s="155"/>
      <c r="K208" s="155"/>
      <c r="L208" s="155">
        <f t="shared" ref="L208:L215" si="131">$L$206</f>
        <v>521.6</v>
      </c>
      <c r="M208" s="182">
        <f t="shared" si="126"/>
        <v>1.7330000000000001</v>
      </c>
      <c r="N208" s="182">
        <f t="shared" si="126"/>
        <v>0.93799999999999994</v>
      </c>
      <c r="O208" s="767">
        <f t="shared" si="126"/>
        <v>17</v>
      </c>
      <c r="P208" s="179"/>
      <c r="Q208" s="806">
        <f t="shared" ref="Q208:Q215" si="132">ROUND(ROUND((C208+D208+E208+F208+G208+H208+I208+J208+K208+L208)*M208*N208,2)*O208-P208,-2)</f>
        <v>290100</v>
      </c>
      <c r="R208" s="189">
        <f t="shared" si="118"/>
        <v>17064.513203639999</v>
      </c>
    </row>
    <row r="209" spans="1:19" s="92" customFormat="1" ht="12.95" hidden="1" customHeight="1" outlineLevel="2" x14ac:dyDescent="0.2">
      <c r="A209" s="90" t="str">
        <f t="shared" si="125"/>
        <v>МАДОУ ЦРР-детский сад № 13</v>
      </c>
      <c r="B209" s="178"/>
      <c r="C209" s="178"/>
      <c r="D209" s="178"/>
      <c r="E209" s="178"/>
      <c r="F209" s="155">
        <f t="shared" si="127"/>
        <v>8932.92</v>
      </c>
      <c r="G209" s="155">
        <f t="shared" si="128"/>
        <v>490.65999999999997</v>
      </c>
      <c r="H209" s="155">
        <f t="shared" si="129"/>
        <v>158.88</v>
      </c>
      <c r="I209" s="155">
        <f t="shared" si="130"/>
        <v>393.6</v>
      </c>
      <c r="J209" s="155"/>
      <c r="K209" s="155"/>
      <c r="L209" s="155">
        <f t="shared" si="131"/>
        <v>521.6</v>
      </c>
      <c r="M209" s="182">
        <f t="shared" si="126"/>
        <v>1.7330000000000001</v>
      </c>
      <c r="N209" s="182">
        <f t="shared" si="126"/>
        <v>0.96399999999999997</v>
      </c>
      <c r="O209" s="767">
        <f t="shared" si="126"/>
        <v>87</v>
      </c>
      <c r="P209" s="179"/>
      <c r="Q209" s="806">
        <f t="shared" si="132"/>
        <v>1525800</v>
      </c>
      <c r="R209" s="189">
        <f t="shared" si="118"/>
        <v>17537.516767920002</v>
      </c>
    </row>
    <row r="210" spans="1:19" s="92" customFormat="1" ht="27" hidden="1" customHeight="1" outlineLevel="2" x14ac:dyDescent="0.2">
      <c r="A210" s="90" t="str">
        <f t="shared" si="125"/>
        <v>МАОУ СОШ № 1 структурное подразделение</v>
      </c>
      <c r="B210" s="178"/>
      <c r="C210" s="178"/>
      <c r="D210" s="178"/>
      <c r="E210" s="178"/>
      <c r="F210" s="155">
        <f t="shared" si="127"/>
        <v>8932.92</v>
      </c>
      <c r="G210" s="155">
        <f t="shared" si="128"/>
        <v>490.65999999999997</v>
      </c>
      <c r="H210" s="155">
        <f t="shared" si="129"/>
        <v>158.88</v>
      </c>
      <c r="I210" s="155">
        <f t="shared" si="130"/>
        <v>393.6</v>
      </c>
      <c r="J210" s="155"/>
      <c r="K210" s="155"/>
      <c r="L210" s="155">
        <f t="shared" si="131"/>
        <v>521.6</v>
      </c>
      <c r="M210" s="182">
        <f t="shared" si="126"/>
        <v>1.7330000000000001</v>
      </c>
      <c r="N210" s="182">
        <f t="shared" si="126"/>
        <v>0.88800000000000001</v>
      </c>
      <c r="O210" s="767">
        <f t="shared" si="126"/>
        <v>0</v>
      </c>
      <c r="P210" s="179"/>
      <c r="Q210" s="806">
        <f t="shared" si="132"/>
        <v>0</v>
      </c>
      <c r="R210" s="189">
        <f t="shared" si="118"/>
        <v>16154.890964640002</v>
      </c>
    </row>
    <row r="211" spans="1:19" s="92" customFormat="1" ht="41.45" hidden="1" customHeight="1" outlineLevel="2" x14ac:dyDescent="0.2">
      <c r="A211" s="90" t="str">
        <f t="shared" si="125"/>
        <v>МАОУ СОШ № 2 им.М.И.Грибушина структурное подразделение</v>
      </c>
      <c r="B211" s="178"/>
      <c r="C211" s="178"/>
      <c r="D211" s="178"/>
      <c r="E211" s="178"/>
      <c r="F211" s="155">
        <f t="shared" si="127"/>
        <v>8932.92</v>
      </c>
      <c r="G211" s="155">
        <f t="shared" si="128"/>
        <v>490.65999999999997</v>
      </c>
      <c r="H211" s="155">
        <f t="shared" si="129"/>
        <v>158.88</v>
      </c>
      <c r="I211" s="155">
        <f t="shared" si="130"/>
        <v>393.6</v>
      </c>
      <c r="J211" s="155"/>
      <c r="K211" s="155"/>
      <c r="L211" s="155">
        <f t="shared" si="131"/>
        <v>521.6</v>
      </c>
      <c r="M211" s="182">
        <f t="shared" si="126"/>
        <v>1.7330000000000001</v>
      </c>
      <c r="N211" s="182">
        <f t="shared" si="126"/>
        <v>1.012</v>
      </c>
      <c r="O211" s="767">
        <f t="shared" si="126"/>
        <v>0</v>
      </c>
      <c r="P211" s="179"/>
      <c r="Q211" s="806">
        <f t="shared" si="132"/>
        <v>0</v>
      </c>
      <c r="R211" s="189">
        <f t="shared" si="118"/>
        <v>18410.75411736</v>
      </c>
    </row>
    <row r="212" spans="1:19" s="92" customFormat="1" ht="30.6" hidden="1" customHeight="1" outlineLevel="2" x14ac:dyDescent="0.2">
      <c r="A212" s="90" t="str">
        <f t="shared" si="125"/>
        <v>МАОУ СОШ № 10 структурное подразделение</v>
      </c>
      <c r="B212" s="178"/>
      <c r="C212" s="178"/>
      <c r="D212" s="178"/>
      <c r="E212" s="178"/>
      <c r="F212" s="155">
        <f t="shared" si="127"/>
        <v>8932.92</v>
      </c>
      <c r="G212" s="155">
        <f t="shared" si="128"/>
        <v>490.65999999999997</v>
      </c>
      <c r="H212" s="155">
        <f t="shared" si="129"/>
        <v>158.88</v>
      </c>
      <c r="I212" s="155">
        <f t="shared" si="130"/>
        <v>393.6</v>
      </c>
      <c r="J212" s="155"/>
      <c r="K212" s="155"/>
      <c r="L212" s="155">
        <f t="shared" si="131"/>
        <v>521.6</v>
      </c>
      <c r="M212" s="182">
        <f t="shared" si="126"/>
        <v>1.7330000000000001</v>
      </c>
      <c r="N212" s="182">
        <f t="shared" si="126"/>
        <v>0.82899999999999996</v>
      </c>
      <c r="O212" s="767">
        <f t="shared" si="126"/>
        <v>0</v>
      </c>
      <c r="P212" s="179"/>
      <c r="Q212" s="806">
        <f t="shared" si="132"/>
        <v>0</v>
      </c>
      <c r="R212" s="189">
        <f t="shared" si="118"/>
        <v>15081.536722620001</v>
      </c>
    </row>
    <row r="213" spans="1:19" s="92" customFormat="1" ht="28.9" hidden="1" customHeight="1" outlineLevel="2" x14ac:dyDescent="0.2">
      <c r="A213" s="90" t="str">
        <f t="shared" si="125"/>
        <v>МАОУ СОШ № 13 структурное подразделение</v>
      </c>
      <c r="B213" s="178"/>
      <c r="C213" s="178"/>
      <c r="D213" s="178"/>
      <c r="E213" s="178"/>
      <c r="F213" s="155">
        <f t="shared" si="127"/>
        <v>8932.92</v>
      </c>
      <c r="G213" s="155">
        <f t="shared" si="128"/>
        <v>490.65999999999997</v>
      </c>
      <c r="H213" s="155">
        <f t="shared" si="129"/>
        <v>158.88</v>
      </c>
      <c r="I213" s="155">
        <f t="shared" si="130"/>
        <v>393.6</v>
      </c>
      <c r="J213" s="155"/>
      <c r="K213" s="155"/>
      <c r="L213" s="155">
        <f t="shared" si="131"/>
        <v>521.6</v>
      </c>
      <c r="M213" s="182">
        <f t="shared" si="126"/>
        <v>1.7330000000000001</v>
      </c>
      <c r="N213" s="182">
        <f t="shared" si="126"/>
        <v>1.284</v>
      </c>
      <c r="O213" s="767">
        <f t="shared" si="126"/>
        <v>0</v>
      </c>
      <c r="P213" s="179"/>
      <c r="Q213" s="806">
        <f t="shared" si="132"/>
        <v>0</v>
      </c>
      <c r="R213" s="189">
        <f t="shared" si="118"/>
        <v>23359.099097520004</v>
      </c>
    </row>
    <row r="214" spans="1:19" s="92" customFormat="1" ht="28.15" hidden="1" customHeight="1" outlineLevel="2" x14ac:dyDescent="0.2">
      <c r="A214" s="90" t="str">
        <f t="shared" si="125"/>
        <v>Гимназия № 16 структурное подразделение</v>
      </c>
      <c r="B214" s="178"/>
      <c r="C214" s="178"/>
      <c r="D214" s="178"/>
      <c r="E214" s="178"/>
      <c r="F214" s="155">
        <f t="shared" si="127"/>
        <v>8932.92</v>
      </c>
      <c r="G214" s="155">
        <f t="shared" si="128"/>
        <v>490.65999999999997</v>
      </c>
      <c r="H214" s="155">
        <f t="shared" si="129"/>
        <v>158.88</v>
      </c>
      <c r="I214" s="155">
        <f t="shared" si="130"/>
        <v>393.6</v>
      </c>
      <c r="J214" s="155"/>
      <c r="K214" s="155"/>
      <c r="L214" s="155">
        <f t="shared" si="131"/>
        <v>521.6</v>
      </c>
      <c r="M214" s="182">
        <f t="shared" si="126"/>
        <v>1.7330000000000001</v>
      </c>
      <c r="N214" s="182">
        <f t="shared" si="126"/>
        <v>1.2290000000000001</v>
      </c>
      <c r="O214" s="767">
        <f t="shared" si="126"/>
        <v>0</v>
      </c>
      <c r="P214" s="179"/>
      <c r="Q214" s="806">
        <f t="shared" si="132"/>
        <v>0</v>
      </c>
      <c r="R214" s="189">
        <f t="shared" si="118"/>
        <v>22358.514634620005</v>
      </c>
    </row>
    <row r="215" spans="1:19" s="92" customFormat="1" ht="44.45" hidden="1" customHeight="1" outlineLevel="2" x14ac:dyDescent="0.2">
      <c r="A215" s="90" t="str">
        <f t="shared" si="125"/>
        <v>МАОУ ООШ № 17 с кадетскими классами структурное подразделение</v>
      </c>
      <c r="B215" s="178"/>
      <c r="C215" s="178"/>
      <c r="D215" s="178"/>
      <c r="E215" s="178"/>
      <c r="F215" s="155">
        <f t="shared" si="127"/>
        <v>8932.92</v>
      </c>
      <c r="G215" s="155">
        <f t="shared" si="128"/>
        <v>490.65999999999997</v>
      </c>
      <c r="H215" s="155">
        <f t="shared" si="129"/>
        <v>158.88</v>
      </c>
      <c r="I215" s="155">
        <f t="shared" si="130"/>
        <v>393.6</v>
      </c>
      <c r="J215" s="155"/>
      <c r="K215" s="155"/>
      <c r="L215" s="155">
        <f t="shared" si="131"/>
        <v>521.6</v>
      </c>
      <c r="M215" s="182">
        <f t="shared" si="126"/>
        <v>1.7330000000000001</v>
      </c>
      <c r="N215" s="182">
        <f t="shared" si="126"/>
        <v>2.5430000000000001</v>
      </c>
      <c r="O215" s="767">
        <f t="shared" si="126"/>
        <v>0</v>
      </c>
      <c r="P215" s="179"/>
      <c r="Q215" s="806">
        <f t="shared" si="132"/>
        <v>0</v>
      </c>
      <c r="R215" s="189">
        <f t="shared" si="118"/>
        <v>46263.387075540006</v>
      </c>
    </row>
    <row r="216" spans="1:19" ht="51" hidden="1" outlineLevel="1" collapsed="1" x14ac:dyDescent="0.2">
      <c r="A216" s="173" t="str">
        <f t="shared" si="125"/>
        <v>Присмотр и уход Физические лица за исключением льготных категорий От 1 года до 3 лет Группа полного дня</v>
      </c>
      <c r="B216" s="471" t="s">
        <v>347</v>
      </c>
      <c r="C216" s="175"/>
      <c r="D216" s="176">
        <f>'Общий 2022'!D13</f>
        <v>30162.2</v>
      </c>
      <c r="E216" s="176"/>
      <c r="F216" s="176"/>
      <c r="G216" s="176"/>
      <c r="H216" s="176"/>
      <c r="I216" s="176"/>
      <c r="J216" s="176"/>
      <c r="K216" s="176"/>
      <c r="L216" s="176">
        <f>'Общий 2022'!L13</f>
        <v>695.3599999999999</v>
      </c>
      <c r="M216" s="175"/>
      <c r="N216" s="175"/>
      <c r="O216" s="765">
        <f>SUM(O217:O225)</f>
        <v>499</v>
      </c>
      <c r="P216" s="176">
        <f>SUM(P217:P225)</f>
        <v>12695200</v>
      </c>
      <c r="Q216" s="176">
        <f>SUM(Q217:Q225)</f>
        <v>2702800</v>
      </c>
    </row>
    <row r="217" spans="1:19" ht="12.95" hidden="1" customHeight="1" outlineLevel="2" x14ac:dyDescent="0.2">
      <c r="A217" s="90" t="str">
        <f t="shared" si="125"/>
        <v>МАДОУ ЦРР-детский сад № 2</v>
      </c>
      <c r="B217" s="166"/>
      <c r="C217" s="166"/>
      <c r="D217" s="155">
        <f>$D$216</f>
        <v>30162.2</v>
      </c>
      <c r="E217" s="166"/>
      <c r="F217" s="166"/>
      <c r="G217" s="166"/>
      <c r="H217" s="166"/>
      <c r="I217" s="166"/>
      <c r="J217" s="166"/>
      <c r="K217" s="166"/>
      <c r="L217" s="155">
        <f>$L$216</f>
        <v>695.3599999999999</v>
      </c>
      <c r="M217" s="336">
        <f t="shared" ref="M217:P225" si="133">M57</f>
        <v>1</v>
      </c>
      <c r="N217" s="166">
        <f t="shared" si="133"/>
        <v>1</v>
      </c>
      <c r="O217" s="766">
        <f t="shared" si="133"/>
        <v>53</v>
      </c>
      <c r="P217" s="155">
        <f t="shared" si="133"/>
        <v>1348400</v>
      </c>
      <c r="Q217" s="155">
        <f>ROUND(ROUND((C217+D217+E217+F217+G217+H217+I217+J217+K217+L217)*M217*N217,2)*O217-P217,-2)</f>
        <v>287100</v>
      </c>
      <c r="R217" s="189">
        <f>(B217+C217+D217+E217+F217+G217+H217+I217+J217+K217+L217-'Питание норматив'!$H$40)*M217*N217</f>
        <v>1711.5600000000013</v>
      </c>
      <c r="S217" s="186"/>
    </row>
    <row r="218" spans="1:19" ht="12.95" hidden="1" customHeight="1" outlineLevel="2" x14ac:dyDescent="0.2">
      <c r="A218" s="90" t="str">
        <f t="shared" si="125"/>
        <v>МАДОУ ЦРР-детский сад № 11</v>
      </c>
      <c r="B218" s="166"/>
      <c r="C218" s="166"/>
      <c r="D218" s="155">
        <f t="shared" ref="D218:D225" si="134">$D$216</f>
        <v>30162.2</v>
      </c>
      <c r="E218" s="166"/>
      <c r="F218" s="166"/>
      <c r="G218" s="166"/>
      <c r="H218" s="166"/>
      <c r="I218" s="166"/>
      <c r="J218" s="166"/>
      <c r="K218" s="166"/>
      <c r="L218" s="155">
        <f t="shared" ref="L218:L225" si="135">$L$216</f>
        <v>695.3599999999999</v>
      </c>
      <c r="M218" s="549">
        <f t="shared" si="133"/>
        <v>1</v>
      </c>
      <c r="N218" s="549">
        <f t="shared" si="133"/>
        <v>1</v>
      </c>
      <c r="O218" s="766">
        <f t="shared" si="133"/>
        <v>94</v>
      </c>
      <c r="P218" s="155">
        <f t="shared" si="133"/>
        <v>2391500</v>
      </c>
      <c r="Q218" s="806">
        <f t="shared" ref="Q218:Q225" si="136">ROUND(ROUND((C218+D218+E218+F218+G218+H218+I218+J218+K218+L218)*M218*N218,2)*O218-P218,-2)</f>
        <v>509100</v>
      </c>
      <c r="R218" s="189">
        <f>(B218+C218+D218+E218+F218+G218+H218+I218+J218+K218+L218-'Питание норматив'!$H$40)*M218*N218</f>
        <v>1711.5600000000013</v>
      </c>
      <c r="S218" s="186"/>
    </row>
    <row r="219" spans="1:19" ht="12.95" hidden="1" customHeight="1" outlineLevel="2" x14ac:dyDescent="0.2">
      <c r="A219" s="90" t="str">
        <f t="shared" si="125"/>
        <v>МАДОУ ЦРР-детский сад № 13</v>
      </c>
      <c r="B219" s="166"/>
      <c r="C219" s="166"/>
      <c r="D219" s="155">
        <f t="shared" si="134"/>
        <v>30162.2</v>
      </c>
      <c r="E219" s="166"/>
      <c r="F219" s="166"/>
      <c r="G219" s="166"/>
      <c r="H219" s="166"/>
      <c r="I219" s="166"/>
      <c r="J219" s="166"/>
      <c r="K219" s="166"/>
      <c r="L219" s="155">
        <f t="shared" si="135"/>
        <v>695.3599999999999</v>
      </c>
      <c r="M219" s="549">
        <f t="shared" si="133"/>
        <v>1</v>
      </c>
      <c r="N219" s="549">
        <f t="shared" si="133"/>
        <v>1</v>
      </c>
      <c r="O219" s="766">
        <f t="shared" si="133"/>
        <v>141</v>
      </c>
      <c r="P219" s="155">
        <f t="shared" si="133"/>
        <v>3587200</v>
      </c>
      <c r="Q219" s="806">
        <f t="shared" si="136"/>
        <v>763700</v>
      </c>
      <c r="R219" s="189">
        <f>(B219+C219+D219+E219+F219+G219+H219+I219+J219+K219+L219-'Питание норматив'!$H$40)*M219*N219</f>
        <v>1711.5600000000013</v>
      </c>
      <c r="S219" s="186"/>
    </row>
    <row r="220" spans="1:19" ht="31.15" hidden="1" customHeight="1" outlineLevel="2" x14ac:dyDescent="0.2">
      <c r="A220" s="90" t="str">
        <f t="shared" si="125"/>
        <v>МАОУ СОШ № 1 структурное подразделение</v>
      </c>
      <c r="B220" s="166"/>
      <c r="C220" s="166"/>
      <c r="D220" s="155">
        <f t="shared" si="134"/>
        <v>30162.2</v>
      </c>
      <c r="E220" s="166"/>
      <c r="F220" s="166"/>
      <c r="G220" s="166"/>
      <c r="H220" s="166"/>
      <c r="I220" s="166"/>
      <c r="J220" s="166"/>
      <c r="K220" s="166"/>
      <c r="L220" s="155">
        <f t="shared" si="135"/>
        <v>695.3599999999999</v>
      </c>
      <c r="M220" s="549">
        <f t="shared" si="133"/>
        <v>1</v>
      </c>
      <c r="N220" s="549">
        <f t="shared" si="133"/>
        <v>1</v>
      </c>
      <c r="O220" s="766">
        <f t="shared" si="133"/>
        <v>35</v>
      </c>
      <c r="P220" s="155">
        <f t="shared" si="133"/>
        <v>890400</v>
      </c>
      <c r="Q220" s="806">
        <f t="shared" si="136"/>
        <v>189600</v>
      </c>
      <c r="R220" s="189">
        <f>(B220+C220+D220+E220+F220+G220+H220+I220+J220+K220+L220-'Питание норматив'!$H$40)*M220*N220</f>
        <v>1711.5600000000013</v>
      </c>
      <c r="S220" s="186"/>
    </row>
    <row r="221" spans="1:19" ht="43.9" hidden="1" customHeight="1" outlineLevel="2" x14ac:dyDescent="0.2">
      <c r="A221" s="90" t="str">
        <f t="shared" si="125"/>
        <v>МАОУ СОШ № 2 им.М.И.Грибушина структурное подразделение</v>
      </c>
      <c r="B221" s="166"/>
      <c r="C221" s="166"/>
      <c r="D221" s="155">
        <f t="shared" si="134"/>
        <v>30162.2</v>
      </c>
      <c r="E221" s="166"/>
      <c r="F221" s="166"/>
      <c r="G221" s="166"/>
      <c r="H221" s="166"/>
      <c r="I221" s="166"/>
      <c r="J221" s="166"/>
      <c r="K221" s="166"/>
      <c r="L221" s="155">
        <f t="shared" si="135"/>
        <v>695.3599999999999</v>
      </c>
      <c r="M221" s="549">
        <f t="shared" si="133"/>
        <v>1</v>
      </c>
      <c r="N221" s="549">
        <f t="shared" si="133"/>
        <v>1</v>
      </c>
      <c r="O221" s="766">
        <f t="shared" si="133"/>
        <v>53</v>
      </c>
      <c r="P221" s="155">
        <f t="shared" si="133"/>
        <v>1348400</v>
      </c>
      <c r="Q221" s="806">
        <f t="shared" si="136"/>
        <v>287100</v>
      </c>
      <c r="R221" s="189">
        <f>(B221+C221+D221+E221+F221+G221+H221+I221+J221+K221+L221-'Питание норматив'!$H$40)*M221*N221</f>
        <v>1711.5600000000013</v>
      </c>
      <c r="S221" s="186"/>
    </row>
    <row r="222" spans="1:19" ht="30.6" hidden="1" customHeight="1" outlineLevel="2" x14ac:dyDescent="0.2">
      <c r="A222" s="90" t="str">
        <f t="shared" si="125"/>
        <v>МАОУ СОШ № 10 структурное подразделение</v>
      </c>
      <c r="B222" s="166"/>
      <c r="C222" s="166"/>
      <c r="D222" s="155">
        <f t="shared" si="134"/>
        <v>30162.2</v>
      </c>
      <c r="E222" s="166"/>
      <c r="F222" s="166"/>
      <c r="G222" s="166"/>
      <c r="H222" s="166"/>
      <c r="I222" s="166"/>
      <c r="J222" s="166"/>
      <c r="K222" s="166"/>
      <c r="L222" s="155">
        <f t="shared" si="135"/>
        <v>695.3599999999999</v>
      </c>
      <c r="M222" s="549">
        <f t="shared" si="133"/>
        <v>1</v>
      </c>
      <c r="N222" s="549">
        <f t="shared" si="133"/>
        <v>1</v>
      </c>
      <c r="O222" s="766">
        <f t="shared" si="133"/>
        <v>21</v>
      </c>
      <c r="P222" s="155">
        <f t="shared" si="133"/>
        <v>534300</v>
      </c>
      <c r="Q222" s="806">
        <f t="shared" si="136"/>
        <v>113700</v>
      </c>
      <c r="R222" s="189">
        <f>(B222+C222+D222+E222+F222+G222+H222+I222+J222+K222+L222-'Питание норматив'!$H$40)*M222*N222</f>
        <v>1711.5600000000013</v>
      </c>
      <c r="S222" s="186"/>
    </row>
    <row r="223" spans="1:19" ht="27.6" hidden="1" customHeight="1" outlineLevel="2" x14ac:dyDescent="0.2">
      <c r="A223" s="90" t="str">
        <f t="shared" si="125"/>
        <v>МАОУ СОШ № 13 структурное подразделение</v>
      </c>
      <c r="B223" s="166"/>
      <c r="C223" s="166"/>
      <c r="D223" s="155">
        <f t="shared" si="134"/>
        <v>30162.2</v>
      </c>
      <c r="E223" s="166"/>
      <c r="F223" s="166"/>
      <c r="G223" s="166"/>
      <c r="H223" s="166"/>
      <c r="I223" s="166"/>
      <c r="J223" s="166"/>
      <c r="K223" s="166"/>
      <c r="L223" s="155">
        <f t="shared" si="135"/>
        <v>695.3599999999999</v>
      </c>
      <c r="M223" s="549">
        <f t="shared" si="133"/>
        <v>1</v>
      </c>
      <c r="N223" s="549">
        <f t="shared" si="133"/>
        <v>1</v>
      </c>
      <c r="O223" s="766">
        <f t="shared" si="133"/>
        <v>32</v>
      </c>
      <c r="P223" s="155">
        <f t="shared" si="133"/>
        <v>814100</v>
      </c>
      <c r="Q223" s="806">
        <f t="shared" si="136"/>
        <v>173300</v>
      </c>
      <c r="R223" s="189">
        <f>(B223+C223+D223+E223+F223+G223+H223+I223+J223+K223+L223-'Питание норматив'!$H$40)*M223*N223</f>
        <v>1711.5600000000013</v>
      </c>
      <c r="S223" s="186"/>
    </row>
    <row r="224" spans="1:19" ht="33.6" hidden="1" customHeight="1" outlineLevel="2" x14ac:dyDescent="0.2">
      <c r="A224" s="90" t="str">
        <f t="shared" si="125"/>
        <v>Гимназия № 16 структурное подразделение</v>
      </c>
      <c r="B224" s="166"/>
      <c r="C224" s="166"/>
      <c r="D224" s="155">
        <f t="shared" si="134"/>
        <v>30162.2</v>
      </c>
      <c r="E224" s="166"/>
      <c r="F224" s="166"/>
      <c r="G224" s="166"/>
      <c r="H224" s="166"/>
      <c r="I224" s="166"/>
      <c r="J224" s="166"/>
      <c r="K224" s="166"/>
      <c r="L224" s="155">
        <f t="shared" si="135"/>
        <v>695.3599999999999</v>
      </c>
      <c r="M224" s="549">
        <f t="shared" si="133"/>
        <v>1</v>
      </c>
      <c r="N224" s="549">
        <f t="shared" si="133"/>
        <v>1</v>
      </c>
      <c r="O224" s="766">
        <f t="shared" si="133"/>
        <v>53</v>
      </c>
      <c r="P224" s="155">
        <f t="shared" si="133"/>
        <v>1348400</v>
      </c>
      <c r="Q224" s="806">
        <f t="shared" si="136"/>
        <v>287100</v>
      </c>
      <c r="R224" s="189">
        <f>(B224+C224+D224+E224+F224+G224+H224+I224+J224+K224+L224-'Питание норматив'!$H$40)*M224*N224</f>
        <v>1711.5600000000013</v>
      </c>
      <c r="S224" s="186"/>
    </row>
    <row r="225" spans="1:19" ht="45" hidden="1" customHeight="1" outlineLevel="2" x14ac:dyDescent="0.2">
      <c r="A225" s="90" t="str">
        <f t="shared" si="125"/>
        <v>МАОУ ООШ № 17 с кадетскими классами структурное подразделение</v>
      </c>
      <c r="B225" s="166"/>
      <c r="C225" s="166"/>
      <c r="D225" s="155">
        <f t="shared" si="134"/>
        <v>30162.2</v>
      </c>
      <c r="E225" s="166"/>
      <c r="F225" s="166"/>
      <c r="G225" s="166"/>
      <c r="H225" s="166"/>
      <c r="I225" s="166"/>
      <c r="J225" s="166"/>
      <c r="K225" s="166"/>
      <c r="L225" s="155">
        <f t="shared" si="135"/>
        <v>695.3599999999999</v>
      </c>
      <c r="M225" s="549">
        <f t="shared" si="133"/>
        <v>1</v>
      </c>
      <c r="N225" s="549">
        <f t="shared" si="133"/>
        <v>1</v>
      </c>
      <c r="O225" s="766">
        <f t="shared" si="133"/>
        <v>17</v>
      </c>
      <c r="P225" s="155">
        <f t="shared" si="133"/>
        <v>432500</v>
      </c>
      <c r="Q225" s="806">
        <f t="shared" si="136"/>
        <v>92100</v>
      </c>
      <c r="R225" s="189">
        <f>(B225+C225+D225+E225+F225+G225+H225+I225+J225+K225+L225-'Питание норматив'!$H$40)*M225*N225</f>
        <v>1711.5600000000013</v>
      </c>
      <c r="S225" s="186"/>
    </row>
    <row r="226" spans="1:19" ht="39.6" hidden="1" customHeight="1" outlineLevel="1" collapsed="1" x14ac:dyDescent="0.2">
      <c r="A226" s="339" t="str">
        <f t="shared" si="125"/>
        <v>Присмотр и уход Физические лица льготных категорий, определяемых учредителем От 3 лет до 8 лет группа полного дня</v>
      </c>
      <c r="B226" s="562" t="s">
        <v>393</v>
      </c>
      <c r="C226" s="175"/>
      <c r="D226" s="176">
        <f>'Общий 2022'!D14</f>
        <v>30162.2</v>
      </c>
      <c r="E226" s="176"/>
      <c r="F226" s="176"/>
      <c r="G226" s="176"/>
      <c r="H226" s="176"/>
      <c r="I226" s="176"/>
      <c r="J226" s="176"/>
      <c r="K226" s="176"/>
      <c r="L226" s="176">
        <f>'Общий 2022'!L14</f>
        <v>695.3599999999999</v>
      </c>
      <c r="M226" s="176"/>
      <c r="N226" s="176"/>
      <c r="O226" s="765">
        <f>SUM(O227:O235)</f>
        <v>1</v>
      </c>
      <c r="P226" s="176"/>
      <c r="Q226" s="176">
        <f>SUM(Q227:Q235)</f>
        <v>18200</v>
      </c>
      <c r="R226" s="189"/>
      <c r="S226" s="186"/>
    </row>
    <row r="227" spans="1:19" ht="15.6" hidden="1" customHeight="1" outlineLevel="2" x14ac:dyDescent="0.2">
      <c r="A227" s="90" t="str">
        <f t="shared" si="125"/>
        <v>МАДОУ ЦРР-детский сад № 2</v>
      </c>
      <c r="B227" s="560"/>
      <c r="C227" s="560"/>
      <c r="D227" s="155">
        <f>$D$226</f>
        <v>30162.2</v>
      </c>
      <c r="E227" s="560"/>
      <c r="F227" s="560"/>
      <c r="G227" s="560"/>
      <c r="H227" s="560"/>
      <c r="I227" s="560"/>
      <c r="J227" s="560"/>
      <c r="K227" s="560"/>
      <c r="L227" s="155">
        <f>$L$226</f>
        <v>695.3599999999999</v>
      </c>
      <c r="M227" s="560">
        <f t="shared" ref="M227:P235" si="137">M67</f>
        <v>1</v>
      </c>
      <c r="N227" s="560">
        <f t="shared" si="137"/>
        <v>1</v>
      </c>
      <c r="O227" s="766">
        <f t="shared" si="137"/>
        <v>0</v>
      </c>
      <c r="P227" s="155">
        <f t="shared" si="137"/>
        <v>0</v>
      </c>
      <c r="Q227" s="155">
        <f>ROUND(ROUND((C227+D227+E227+F227+G227+H227+I227+J227+K227+L227)*M227*N227,2)*O227-P227,-2)</f>
        <v>0</v>
      </c>
      <c r="R227" s="189">
        <f t="shared" ref="R227:R235" si="138">(B227+C227+D227+E227+F227+G227+H227+I227+J227+K227+L227)*M227*N227</f>
        <v>30857.56</v>
      </c>
      <c r="S227" s="186"/>
    </row>
    <row r="228" spans="1:19" ht="17.45" hidden="1" customHeight="1" outlineLevel="2" x14ac:dyDescent="0.2">
      <c r="A228" s="90" t="str">
        <f t="shared" si="125"/>
        <v>МАДОУ ЦРР-детский сад № 11</v>
      </c>
      <c r="B228" s="560"/>
      <c r="C228" s="560"/>
      <c r="D228" s="155">
        <f t="shared" ref="D228:D235" si="139">$D$226</f>
        <v>30162.2</v>
      </c>
      <c r="E228" s="560"/>
      <c r="F228" s="560"/>
      <c r="G228" s="560"/>
      <c r="H228" s="560"/>
      <c r="I228" s="560"/>
      <c r="J228" s="560"/>
      <c r="K228" s="560"/>
      <c r="L228" s="155">
        <f t="shared" ref="L228:L235" si="140">$L$226</f>
        <v>695.3599999999999</v>
      </c>
      <c r="M228" s="560">
        <f t="shared" si="137"/>
        <v>1</v>
      </c>
      <c r="N228" s="560">
        <f t="shared" si="137"/>
        <v>1</v>
      </c>
      <c r="O228" s="766">
        <f t="shared" si="137"/>
        <v>0</v>
      </c>
      <c r="P228" s="155">
        <f t="shared" si="137"/>
        <v>0</v>
      </c>
      <c r="Q228" s="806">
        <f t="shared" ref="Q228:Q235" si="141">ROUND(ROUND((C228+D228+E228+F228+G228+H228+I228+J228+K228+L228)*M228*N228,2)*O228-P228,-2)</f>
        <v>0</v>
      </c>
      <c r="R228" s="189">
        <f t="shared" si="138"/>
        <v>30857.56</v>
      </c>
      <c r="S228" s="186"/>
    </row>
    <row r="229" spans="1:19" ht="19.149999999999999" hidden="1" customHeight="1" outlineLevel="2" x14ac:dyDescent="0.2">
      <c r="A229" s="90" t="str">
        <f t="shared" si="125"/>
        <v>МАДОУ ЦРР-детский сад № 13</v>
      </c>
      <c r="B229" s="560"/>
      <c r="C229" s="560"/>
      <c r="D229" s="155">
        <f t="shared" si="139"/>
        <v>30162.2</v>
      </c>
      <c r="E229" s="560"/>
      <c r="F229" s="560"/>
      <c r="G229" s="560"/>
      <c r="H229" s="560"/>
      <c r="I229" s="560"/>
      <c r="J229" s="560"/>
      <c r="K229" s="560"/>
      <c r="L229" s="155">
        <f t="shared" si="140"/>
        <v>695.3599999999999</v>
      </c>
      <c r="M229" s="560">
        <f t="shared" si="137"/>
        <v>1</v>
      </c>
      <c r="N229" s="560">
        <f t="shared" si="137"/>
        <v>1</v>
      </c>
      <c r="O229" s="766">
        <f t="shared" si="137"/>
        <v>0</v>
      </c>
      <c r="P229" s="155">
        <f t="shared" si="137"/>
        <v>0</v>
      </c>
      <c r="Q229" s="806">
        <f t="shared" si="141"/>
        <v>0</v>
      </c>
      <c r="R229" s="189">
        <f t="shared" si="138"/>
        <v>30857.56</v>
      </c>
      <c r="S229" s="186"/>
    </row>
    <row r="230" spans="1:19" ht="31.15" hidden="1" customHeight="1" outlineLevel="2" x14ac:dyDescent="0.2">
      <c r="A230" s="90" t="str">
        <f t="shared" si="125"/>
        <v>МАОУ СОШ № 1 структурное подразделение</v>
      </c>
      <c r="B230" s="560"/>
      <c r="C230" s="560"/>
      <c r="D230" s="155">
        <f t="shared" si="139"/>
        <v>30162.2</v>
      </c>
      <c r="E230" s="560"/>
      <c r="F230" s="560"/>
      <c r="G230" s="560"/>
      <c r="H230" s="560"/>
      <c r="I230" s="560"/>
      <c r="J230" s="560"/>
      <c r="K230" s="560"/>
      <c r="L230" s="155">
        <f t="shared" si="140"/>
        <v>695.3599999999999</v>
      </c>
      <c r="M230" s="560">
        <f t="shared" si="137"/>
        <v>1</v>
      </c>
      <c r="N230" s="560">
        <f t="shared" si="137"/>
        <v>1</v>
      </c>
      <c r="O230" s="766">
        <f t="shared" si="137"/>
        <v>1</v>
      </c>
      <c r="P230" s="155">
        <f t="shared" si="137"/>
        <v>12700</v>
      </c>
      <c r="Q230" s="806">
        <f t="shared" si="141"/>
        <v>18200</v>
      </c>
      <c r="R230" s="189">
        <f t="shared" si="138"/>
        <v>30857.56</v>
      </c>
      <c r="S230" s="186"/>
    </row>
    <row r="231" spans="1:19" ht="42.6" hidden="1" customHeight="1" outlineLevel="2" x14ac:dyDescent="0.2">
      <c r="A231" s="90" t="str">
        <f t="shared" ref="A231:A236" si="142">A71</f>
        <v>МАОУ СОШ № 2 им.М.И.Грибушина структурное подразделение</v>
      </c>
      <c r="B231" s="560"/>
      <c r="C231" s="560"/>
      <c r="D231" s="155">
        <f t="shared" si="139"/>
        <v>30162.2</v>
      </c>
      <c r="E231" s="560"/>
      <c r="F231" s="560"/>
      <c r="G231" s="560"/>
      <c r="H231" s="560"/>
      <c r="I231" s="560"/>
      <c r="J231" s="560"/>
      <c r="K231" s="560"/>
      <c r="L231" s="155">
        <f t="shared" si="140"/>
        <v>695.3599999999999</v>
      </c>
      <c r="M231" s="560">
        <f t="shared" si="137"/>
        <v>1</v>
      </c>
      <c r="N231" s="560">
        <f t="shared" si="137"/>
        <v>1</v>
      </c>
      <c r="O231" s="766">
        <f t="shared" si="137"/>
        <v>0</v>
      </c>
      <c r="P231" s="155">
        <f t="shared" si="137"/>
        <v>0</v>
      </c>
      <c r="Q231" s="806">
        <f t="shared" si="141"/>
        <v>0</v>
      </c>
      <c r="R231" s="189">
        <f t="shared" si="138"/>
        <v>30857.56</v>
      </c>
      <c r="S231" s="186"/>
    </row>
    <row r="232" spans="1:19" ht="32.450000000000003" hidden="1" customHeight="1" outlineLevel="2" x14ac:dyDescent="0.2">
      <c r="A232" s="90" t="str">
        <f t="shared" si="142"/>
        <v>МАОУ СОШ № 10 структурное подразделение</v>
      </c>
      <c r="B232" s="560"/>
      <c r="C232" s="560"/>
      <c r="D232" s="155">
        <f t="shared" si="139"/>
        <v>30162.2</v>
      </c>
      <c r="E232" s="560"/>
      <c r="F232" s="560"/>
      <c r="G232" s="560"/>
      <c r="H232" s="560"/>
      <c r="I232" s="560"/>
      <c r="J232" s="560"/>
      <c r="K232" s="560"/>
      <c r="L232" s="155">
        <f t="shared" si="140"/>
        <v>695.3599999999999</v>
      </c>
      <c r="M232" s="560">
        <f t="shared" si="137"/>
        <v>1</v>
      </c>
      <c r="N232" s="560">
        <f t="shared" si="137"/>
        <v>1</v>
      </c>
      <c r="O232" s="766">
        <f t="shared" si="137"/>
        <v>0</v>
      </c>
      <c r="P232" s="155">
        <f t="shared" si="137"/>
        <v>0</v>
      </c>
      <c r="Q232" s="806">
        <f t="shared" si="141"/>
        <v>0</v>
      </c>
      <c r="R232" s="189">
        <f t="shared" si="138"/>
        <v>30857.56</v>
      </c>
      <c r="S232" s="186"/>
    </row>
    <row r="233" spans="1:19" ht="29.45" hidden="1" customHeight="1" outlineLevel="2" x14ac:dyDescent="0.2">
      <c r="A233" s="90" t="str">
        <f t="shared" si="142"/>
        <v>МАОУ СОШ № 13 структурное подразделение</v>
      </c>
      <c r="B233" s="560"/>
      <c r="C233" s="560"/>
      <c r="D233" s="155">
        <f t="shared" si="139"/>
        <v>30162.2</v>
      </c>
      <c r="E233" s="560"/>
      <c r="F233" s="560"/>
      <c r="G233" s="560"/>
      <c r="H233" s="560"/>
      <c r="I233" s="560"/>
      <c r="J233" s="560"/>
      <c r="K233" s="560"/>
      <c r="L233" s="155">
        <f t="shared" si="140"/>
        <v>695.3599999999999</v>
      </c>
      <c r="M233" s="560">
        <f t="shared" si="137"/>
        <v>1</v>
      </c>
      <c r="N233" s="560">
        <f t="shared" si="137"/>
        <v>1</v>
      </c>
      <c r="O233" s="766">
        <f t="shared" si="137"/>
        <v>0</v>
      </c>
      <c r="P233" s="155">
        <f t="shared" si="137"/>
        <v>0</v>
      </c>
      <c r="Q233" s="806">
        <f t="shared" si="141"/>
        <v>0</v>
      </c>
      <c r="R233" s="189">
        <f t="shared" si="138"/>
        <v>30857.56</v>
      </c>
      <c r="S233" s="186"/>
    </row>
    <row r="234" spans="1:19" ht="31.15" hidden="1" customHeight="1" outlineLevel="2" x14ac:dyDescent="0.2">
      <c r="A234" s="90" t="str">
        <f t="shared" si="142"/>
        <v>Гимназия № 16 структурное подразделение</v>
      </c>
      <c r="B234" s="560"/>
      <c r="C234" s="560"/>
      <c r="D234" s="155">
        <f t="shared" si="139"/>
        <v>30162.2</v>
      </c>
      <c r="E234" s="560"/>
      <c r="F234" s="560"/>
      <c r="G234" s="560"/>
      <c r="H234" s="560"/>
      <c r="I234" s="560"/>
      <c r="J234" s="560"/>
      <c r="K234" s="560"/>
      <c r="L234" s="155">
        <f t="shared" si="140"/>
        <v>695.3599999999999</v>
      </c>
      <c r="M234" s="560">
        <f t="shared" si="137"/>
        <v>1</v>
      </c>
      <c r="N234" s="560">
        <f t="shared" si="137"/>
        <v>1</v>
      </c>
      <c r="O234" s="766">
        <f t="shared" si="137"/>
        <v>0</v>
      </c>
      <c r="P234" s="155">
        <f t="shared" si="137"/>
        <v>0</v>
      </c>
      <c r="Q234" s="806">
        <f t="shared" si="141"/>
        <v>0</v>
      </c>
      <c r="R234" s="189">
        <f t="shared" si="138"/>
        <v>30857.56</v>
      </c>
      <c r="S234" s="186"/>
    </row>
    <row r="235" spans="1:19" ht="45" hidden="1" customHeight="1" outlineLevel="2" x14ac:dyDescent="0.2">
      <c r="A235" s="90" t="str">
        <f t="shared" si="142"/>
        <v>МАОУ ООШ № 17 с кадетскими классами структурное подразделение</v>
      </c>
      <c r="B235" s="560"/>
      <c r="C235" s="560"/>
      <c r="D235" s="155">
        <f t="shared" si="139"/>
        <v>30162.2</v>
      </c>
      <c r="E235" s="560"/>
      <c r="F235" s="560"/>
      <c r="G235" s="560"/>
      <c r="H235" s="560"/>
      <c r="I235" s="560"/>
      <c r="J235" s="560"/>
      <c r="K235" s="560"/>
      <c r="L235" s="155">
        <f t="shared" si="140"/>
        <v>695.3599999999999</v>
      </c>
      <c r="M235" s="560">
        <f t="shared" si="137"/>
        <v>1</v>
      </c>
      <c r="N235" s="560">
        <f t="shared" si="137"/>
        <v>1</v>
      </c>
      <c r="O235" s="766">
        <f t="shared" si="137"/>
        <v>0</v>
      </c>
      <c r="P235" s="155">
        <f t="shared" si="137"/>
        <v>0</v>
      </c>
      <c r="Q235" s="806">
        <f t="shared" si="141"/>
        <v>0</v>
      </c>
      <c r="R235" s="189">
        <f t="shared" si="138"/>
        <v>30857.56</v>
      </c>
      <c r="S235" s="186"/>
    </row>
    <row r="236" spans="1:19" ht="57.6" hidden="1" customHeight="1" outlineLevel="1" collapsed="1" x14ac:dyDescent="0.2">
      <c r="A236" s="173" t="str">
        <f t="shared" si="142"/>
        <v>Присмотр и уход Дети-сироты и дети, оставшиеся без попечения родителей От 1 года до 3 лет Группа полного дня</v>
      </c>
      <c r="B236" s="175" t="str">
        <f>B76</f>
        <v>853211О.99.0.БВ19АА92000</v>
      </c>
      <c r="C236" s="175"/>
      <c r="D236" s="176">
        <f>'Общий 2022'!D12</f>
        <v>30162.2</v>
      </c>
      <c r="E236" s="176"/>
      <c r="F236" s="176"/>
      <c r="G236" s="176"/>
      <c r="H236" s="176"/>
      <c r="I236" s="176"/>
      <c r="J236" s="176"/>
      <c r="K236" s="176"/>
      <c r="L236" s="176">
        <f>'Общий 2022'!L12</f>
        <v>695.3599999999999</v>
      </c>
      <c r="M236" s="175"/>
      <c r="N236" s="175"/>
      <c r="O236" s="768">
        <f>SUM(O237:O245)</f>
        <v>1</v>
      </c>
      <c r="P236" s="176">
        <f>SUM(P237)</f>
        <v>0</v>
      </c>
      <c r="Q236" s="176">
        <f>SUM(Q237:Q245)</f>
        <v>30900</v>
      </c>
    </row>
    <row r="237" spans="1:19" ht="12.95" hidden="1" customHeight="1" outlineLevel="2" x14ac:dyDescent="0.2">
      <c r="A237" s="90" t="str">
        <f t="shared" ref="A237:A245" si="143">A217</f>
        <v>МАДОУ ЦРР-детский сад № 2</v>
      </c>
      <c r="B237" s="166"/>
      <c r="C237" s="166"/>
      <c r="D237" s="155">
        <f>$D$236</f>
        <v>30162.2</v>
      </c>
      <c r="E237" s="166"/>
      <c r="F237" s="166"/>
      <c r="G237" s="166"/>
      <c r="H237" s="166"/>
      <c r="I237" s="166"/>
      <c r="J237" s="166"/>
      <c r="K237" s="166"/>
      <c r="L237" s="155">
        <f>$L$236</f>
        <v>695.3599999999999</v>
      </c>
      <c r="M237" s="166">
        <f t="shared" ref="M237:O245" si="144">M77</f>
        <v>1</v>
      </c>
      <c r="N237" s="336">
        <f t="shared" si="144"/>
        <v>1</v>
      </c>
      <c r="O237" s="741">
        <f t="shared" si="144"/>
        <v>0</v>
      </c>
      <c r="P237" s="166"/>
      <c r="Q237" s="155">
        <f>ROUND(ROUND((C237+D237+E237+F237+G237+H237+I237+J237+K237+L237)*M237*N237,2)*O237-P237,-2)</f>
        <v>0</v>
      </c>
      <c r="R237" s="189">
        <f>(B237+C237+D237+E237+F237+G237+H237+I237+J237+K237+L237)*M237*N237</f>
        <v>30857.56</v>
      </c>
    </row>
    <row r="238" spans="1:19" ht="12.95" hidden="1" customHeight="1" outlineLevel="2" x14ac:dyDescent="0.2">
      <c r="A238" s="90" t="str">
        <f t="shared" si="143"/>
        <v>МАДОУ ЦРР-детский сад № 11</v>
      </c>
      <c r="B238" s="336"/>
      <c r="C238" s="336"/>
      <c r="D238" s="155">
        <f t="shared" ref="D238:D245" si="145">$D$236</f>
        <v>30162.2</v>
      </c>
      <c r="E238" s="336"/>
      <c r="F238" s="336"/>
      <c r="G238" s="336"/>
      <c r="H238" s="336"/>
      <c r="I238" s="336"/>
      <c r="J238" s="336"/>
      <c r="K238" s="336"/>
      <c r="L238" s="155">
        <f t="shared" ref="L238:L245" si="146">$L$236</f>
        <v>695.3599999999999</v>
      </c>
      <c r="M238" s="336">
        <f t="shared" si="144"/>
        <v>1</v>
      </c>
      <c r="N238" s="336">
        <f t="shared" si="144"/>
        <v>1</v>
      </c>
      <c r="O238" s="741">
        <f t="shared" si="144"/>
        <v>0</v>
      </c>
      <c r="P238" s="336"/>
      <c r="Q238" s="806">
        <f t="shared" ref="Q238:Q245" si="147">ROUND(ROUND((C238+D238+E238+F238+G238+H238+I238+J238+K238+L238)*M238*N238,2)*O238-P238,-2)</f>
        <v>0</v>
      </c>
      <c r="R238" s="189">
        <f t="shared" ref="R238:R245" si="148">(B238+C238+D238+E238+F238+G238+H238+I238+J238+K238+L238)*M238*N238</f>
        <v>30857.56</v>
      </c>
    </row>
    <row r="239" spans="1:19" ht="12.95" hidden="1" customHeight="1" outlineLevel="2" x14ac:dyDescent="0.2">
      <c r="A239" s="90" t="str">
        <f t="shared" si="143"/>
        <v>МАДОУ ЦРР-детский сад № 13</v>
      </c>
      <c r="B239" s="336"/>
      <c r="C239" s="336"/>
      <c r="D239" s="155">
        <f t="shared" si="145"/>
        <v>30162.2</v>
      </c>
      <c r="E239" s="336"/>
      <c r="F239" s="336"/>
      <c r="G239" s="336"/>
      <c r="H239" s="336"/>
      <c r="I239" s="336"/>
      <c r="J239" s="336"/>
      <c r="K239" s="336"/>
      <c r="L239" s="155">
        <f t="shared" si="146"/>
        <v>695.3599999999999</v>
      </c>
      <c r="M239" s="336">
        <f t="shared" si="144"/>
        <v>1</v>
      </c>
      <c r="N239" s="336">
        <f t="shared" si="144"/>
        <v>1</v>
      </c>
      <c r="O239" s="741">
        <f t="shared" si="144"/>
        <v>1</v>
      </c>
      <c r="P239" s="336"/>
      <c r="Q239" s="806">
        <f t="shared" si="147"/>
        <v>30900</v>
      </c>
      <c r="R239" s="189">
        <f t="shared" si="148"/>
        <v>30857.56</v>
      </c>
    </row>
    <row r="240" spans="1:19" ht="28.9" hidden="1" customHeight="1" outlineLevel="2" x14ac:dyDescent="0.2">
      <c r="A240" s="90" t="str">
        <f t="shared" si="143"/>
        <v>МАОУ СОШ № 1 структурное подразделение</v>
      </c>
      <c r="B240" s="336"/>
      <c r="C240" s="336"/>
      <c r="D240" s="155">
        <f t="shared" si="145"/>
        <v>30162.2</v>
      </c>
      <c r="E240" s="336"/>
      <c r="F240" s="336"/>
      <c r="G240" s="336"/>
      <c r="H240" s="336"/>
      <c r="I240" s="336"/>
      <c r="J240" s="336"/>
      <c r="K240" s="336"/>
      <c r="L240" s="155">
        <f t="shared" si="146"/>
        <v>695.3599999999999</v>
      </c>
      <c r="M240" s="336">
        <f t="shared" si="144"/>
        <v>1</v>
      </c>
      <c r="N240" s="336">
        <f t="shared" si="144"/>
        <v>1</v>
      </c>
      <c r="O240" s="741">
        <f t="shared" si="144"/>
        <v>0</v>
      </c>
      <c r="P240" s="336"/>
      <c r="Q240" s="806">
        <f t="shared" si="147"/>
        <v>0</v>
      </c>
      <c r="R240" s="189">
        <f t="shared" si="148"/>
        <v>30857.56</v>
      </c>
    </row>
    <row r="241" spans="1:18" ht="42.6" hidden="1" customHeight="1" outlineLevel="2" x14ac:dyDescent="0.2">
      <c r="A241" s="90" t="str">
        <f t="shared" si="143"/>
        <v>МАОУ СОШ № 2 им.М.И.Грибушина структурное подразделение</v>
      </c>
      <c r="B241" s="336"/>
      <c r="C241" s="336"/>
      <c r="D241" s="155">
        <f t="shared" si="145"/>
        <v>30162.2</v>
      </c>
      <c r="E241" s="336"/>
      <c r="F241" s="336"/>
      <c r="G241" s="336"/>
      <c r="H241" s="336"/>
      <c r="I241" s="336"/>
      <c r="J241" s="336"/>
      <c r="K241" s="336"/>
      <c r="L241" s="155">
        <f t="shared" si="146"/>
        <v>695.3599999999999</v>
      </c>
      <c r="M241" s="336">
        <f t="shared" si="144"/>
        <v>1</v>
      </c>
      <c r="N241" s="336">
        <f t="shared" si="144"/>
        <v>1</v>
      </c>
      <c r="O241" s="741">
        <f t="shared" si="144"/>
        <v>0</v>
      </c>
      <c r="P241" s="336"/>
      <c r="Q241" s="806">
        <f t="shared" si="147"/>
        <v>0</v>
      </c>
      <c r="R241" s="189">
        <f t="shared" si="148"/>
        <v>30857.56</v>
      </c>
    </row>
    <row r="242" spans="1:18" ht="28.9" hidden="1" customHeight="1" outlineLevel="2" x14ac:dyDescent="0.2">
      <c r="A242" s="90" t="str">
        <f t="shared" si="143"/>
        <v>МАОУ СОШ № 10 структурное подразделение</v>
      </c>
      <c r="B242" s="336"/>
      <c r="C242" s="336"/>
      <c r="D242" s="155">
        <f t="shared" si="145"/>
        <v>30162.2</v>
      </c>
      <c r="E242" s="336"/>
      <c r="F242" s="336"/>
      <c r="G242" s="336"/>
      <c r="H242" s="336"/>
      <c r="I242" s="336"/>
      <c r="J242" s="336"/>
      <c r="K242" s="336"/>
      <c r="L242" s="155">
        <f t="shared" si="146"/>
        <v>695.3599999999999</v>
      </c>
      <c r="M242" s="336">
        <f t="shared" si="144"/>
        <v>1</v>
      </c>
      <c r="N242" s="336">
        <f t="shared" si="144"/>
        <v>1</v>
      </c>
      <c r="O242" s="741">
        <f t="shared" si="144"/>
        <v>0</v>
      </c>
      <c r="P242" s="336"/>
      <c r="Q242" s="806">
        <f t="shared" si="147"/>
        <v>0</v>
      </c>
      <c r="R242" s="189">
        <f t="shared" si="148"/>
        <v>30857.56</v>
      </c>
    </row>
    <row r="243" spans="1:18" ht="28.15" hidden="1" customHeight="1" outlineLevel="2" x14ac:dyDescent="0.2">
      <c r="A243" s="90" t="str">
        <f t="shared" si="143"/>
        <v>МАОУ СОШ № 13 структурное подразделение</v>
      </c>
      <c r="B243" s="336"/>
      <c r="C243" s="336"/>
      <c r="D243" s="155">
        <f t="shared" si="145"/>
        <v>30162.2</v>
      </c>
      <c r="E243" s="336"/>
      <c r="F243" s="336"/>
      <c r="G243" s="336"/>
      <c r="H243" s="336"/>
      <c r="I243" s="336"/>
      <c r="J243" s="336"/>
      <c r="K243" s="336"/>
      <c r="L243" s="155">
        <f t="shared" si="146"/>
        <v>695.3599999999999</v>
      </c>
      <c r="M243" s="336">
        <f t="shared" si="144"/>
        <v>1</v>
      </c>
      <c r="N243" s="336">
        <f t="shared" si="144"/>
        <v>1</v>
      </c>
      <c r="O243" s="741">
        <f t="shared" si="144"/>
        <v>0</v>
      </c>
      <c r="P243" s="336"/>
      <c r="Q243" s="806">
        <f t="shared" si="147"/>
        <v>0</v>
      </c>
      <c r="R243" s="189">
        <f t="shared" si="148"/>
        <v>30857.56</v>
      </c>
    </row>
    <row r="244" spans="1:18" ht="31.15" hidden="1" customHeight="1" outlineLevel="2" x14ac:dyDescent="0.2">
      <c r="A244" s="90" t="str">
        <f t="shared" si="143"/>
        <v>Гимназия № 16 структурное подразделение</v>
      </c>
      <c r="B244" s="336"/>
      <c r="C244" s="336"/>
      <c r="D244" s="155">
        <f t="shared" si="145"/>
        <v>30162.2</v>
      </c>
      <c r="E244" s="336"/>
      <c r="F244" s="336"/>
      <c r="G244" s="336"/>
      <c r="H244" s="336"/>
      <c r="I244" s="336"/>
      <c r="J244" s="336"/>
      <c r="K244" s="336"/>
      <c r="L244" s="155">
        <f t="shared" si="146"/>
        <v>695.3599999999999</v>
      </c>
      <c r="M244" s="336">
        <f t="shared" si="144"/>
        <v>1</v>
      </c>
      <c r="N244" s="336">
        <f t="shared" si="144"/>
        <v>1</v>
      </c>
      <c r="O244" s="741">
        <f t="shared" si="144"/>
        <v>0</v>
      </c>
      <c r="P244" s="336"/>
      <c r="Q244" s="806">
        <f t="shared" si="147"/>
        <v>0</v>
      </c>
      <c r="R244" s="189">
        <f t="shared" si="148"/>
        <v>30857.56</v>
      </c>
    </row>
    <row r="245" spans="1:18" ht="40.9" hidden="1" customHeight="1" outlineLevel="2" x14ac:dyDescent="0.2">
      <c r="A245" s="90" t="str">
        <f t="shared" si="143"/>
        <v>МАОУ ООШ № 17 с кадетскими классами структурное подразделение</v>
      </c>
      <c r="B245" s="336"/>
      <c r="C245" s="336"/>
      <c r="D245" s="155">
        <f t="shared" si="145"/>
        <v>30162.2</v>
      </c>
      <c r="E245" s="336"/>
      <c r="F245" s="336"/>
      <c r="G245" s="336"/>
      <c r="H245" s="336"/>
      <c r="I245" s="336"/>
      <c r="J245" s="336"/>
      <c r="K245" s="336"/>
      <c r="L245" s="155">
        <f t="shared" si="146"/>
        <v>695.3599999999999</v>
      </c>
      <c r="M245" s="336">
        <f t="shared" si="144"/>
        <v>1</v>
      </c>
      <c r="N245" s="336">
        <f t="shared" si="144"/>
        <v>1</v>
      </c>
      <c r="O245" s="741">
        <f t="shared" si="144"/>
        <v>0</v>
      </c>
      <c r="P245" s="336"/>
      <c r="Q245" s="806">
        <f t="shared" si="147"/>
        <v>0</v>
      </c>
      <c r="R245" s="189">
        <f t="shared" si="148"/>
        <v>30857.56</v>
      </c>
    </row>
    <row r="246" spans="1:18" ht="38.450000000000003" hidden="1" customHeight="1" outlineLevel="1" collapsed="1" x14ac:dyDescent="0.2">
      <c r="A246" s="173" t="str">
        <f>A86</f>
        <v>Присмотр и уход Дети-инвалиды От 1 лет до 3 лет группа полного дня</v>
      </c>
      <c r="B246" s="174" t="str">
        <f>B86</f>
        <v>853211О.99.0.БВ19АА08000</v>
      </c>
      <c r="C246" s="175"/>
      <c r="D246" s="176">
        <f>'Общий 2022'!D15</f>
        <v>30162.2</v>
      </c>
      <c r="E246" s="176"/>
      <c r="F246" s="176"/>
      <c r="G246" s="176"/>
      <c r="H246" s="176"/>
      <c r="I246" s="176"/>
      <c r="J246" s="176"/>
      <c r="K246" s="176"/>
      <c r="L246" s="176">
        <f>'Общий 2022'!L15</f>
        <v>695.3599999999999</v>
      </c>
      <c r="M246" s="175"/>
      <c r="N246" s="175"/>
      <c r="O246" s="765">
        <f>SUM(O247:O255)</f>
        <v>2</v>
      </c>
      <c r="P246" s="176">
        <f>SUM(P247:P255)</f>
        <v>0</v>
      </c>
      <c r="Q246" s="176">
        <f>SUM(Q247:Q255)</f>
        <v>61800</v>
      </c>
    </row>
    <row r="247" spans="1:18" ht="12.95" hidden="1" customHeight="1" outlineLevel="2" x14ac:dyDescent="0.2">
      <c r="A247" s="90" t="str">
        <f t="shared" ref="A247:A278" si="149">A87</f>
        <v>МАДОУ ЦРР-детский сад № 2</v>
      </c>
      <c r="B247" s="798"/>
      <c r="C247" s="798"/>
      <c r="D247" s="155">
        <f>D246</f>
        <v>30162.2</v>
      </c>
      <c r="E247" s="798"/>
      <c r="F247" s="798"/>
      <c r="G247" s="798"/>
      <c r="H247" s="798"/>
      <c r="I247" s="798"/>
      <c r="J247" s="798"/>
      <c r="K247" s="798"/>
      <c r="L247" s="155">
        <f>L246</f>
        <v>695.3599999999999</v>
      </c>
      <c r="M247" s="798">
        <f t="shared" ref="M247:O255" si="150">M87</f>
        <v>1</v>
      </c>
      <c r="N247" s="798">
        <f t="shared" si="150"/>
        <v>1</v>
      </c>
      <c r="O247" s="766">
        <f t="shared" si="150"/>
        <v>0</v>
      </c>
      <c r="P247" s="155"/>
      <c r="Q247" s="155">
        <f>ROUND(ROUND((C247+D247+E247+F247+G247+H247+I247+J247+K247+L247)*M247*N247,2)*O247-P247,-2)</f>
        <v>0</v>
      </c>
      <c r="R247" s="189">
        <f>(B247+C247+D247+E247+F247+G247+H247+I247+J247+K247+L247)*M247*N247</f>
        <v>30857.56</v>
      </c>
    </row>
    <row r="248" spans="1:18" ht="12.95" hidden="1" customHeight="1" outlineLevel="2" x14ac:dyDescent="0.2">
      <c r="A248" s="90" t="str">
        <f t="shared" si="149"/>
        <v>МАДОУ ЦРР-детский сад № 11</v>
      </c>
      <c r="B248" s="798"/>
      <c r="C248" s="798"/>
      <c r="D248" s="806">
        <f t="shared" ref="D248:D255" si="151">D247</f>
        <v>30162.2</v>
      </c>
      <c r="E248" s="798"/>
      <c r="F248" s="798"/>
      <c r="G248" s="798"/>
      <c r="H248" s="798"/>
      <c r="I248" s="798"/>
      <c r="J248" s="798"/>
      <c r="K248" s="798"/>
      <c r="L248" s="806">
        <f t="shared" ref="L248:L255" si="152">L247</f>
        <v>695.3599999999999</v>
      </c>
      <c r="M248" s="798">
        <f t="shared" si="150"/>
        <v>1</v>
      </c>
      <c r="N248" s="798">
        <f t="shared" si="150"/>
        <v>1</v>
      </c>
      <c r="O248" s="799">
        <f t="shared" si="150"/>
        <v>0</v>
      </c>
      <c r="P248" s="155"/>
      <c r="Q248" s="806">
        <f t="shared" ref="Q248:Q255" si="153">ROUND(ROUND((C248+D248+E248+F248+G248+H248+I248+J248+K248+L248)*M248*N248,2)*O248-P248,-2)</f>
        <v>0</v>
      </c>
      <c r="R248" s="189">
        <f t="shared" ref="R248:R255" si="154">(B248+C248+D248+E248+F248+G248+H248+I248+J248+K248+L248)*M248*N248</f>
        <v>30857.56</v>
      </c>
    </row>
    <row r="249" spans="1:18" ht="12.95" hidden="1" customHeight="1" outlineLevel="2" x14ac:dyDescent="0.2">
      <c r="A249" s="90" t="str">
        <f t="shared" si="149"/>
        <v>МАДОУ ЦРР-детский сад № 13</v>
      </c>
      <c r="B249" s="798"/>
      <c r="C249" s="798"/>
      <c r="D249" s="806">
        <f t="shared" si="151"/>
        <v>30162.2</v>
      </c>
      <c r="E249" s="798"/>
      <c r="F249" s="798"/>
      <c r="G249" s="798"/>
      <c r="H249" s="798"/>
      <c r="I249" s="798"/>
      <c r="J249" s="798"/>
      <c r="K249" s="798"/>
      <c r="L249" s="806">
        <f t="shared" si="152"/>
        <v>695.3599999999999</v>
      </c>
      <c r="M249" s="798">
        <f t="shared" si="150"/>
        <v>1</v>
      </c>
      <c r="N249" s="798">
        <f t="shared" si="150"/>
        <v>1</v>
      </c>
      <c r="O249" s="799">
        <f t="shared" si="150"/>
        <v>1</v>
      </c>
      <c r="P249" s="155"/>
      <c r="Q249" s="806">
        <f t="shared" si="153"/>
        <v>30900</v>
      </c>
      <c r="R249" s="189">
        <f t="shared" si="154"/>
        <v>30857.56</v>
      </c>
    </row>
    <row r="250" spans="1:18" ht="26.45" hidden="1" customHeight="1" outlineLevel="2" x14ac:dyDescent="0.2">
      <c r="A250" s="90" t="str">
        <f t="shared" si="149"/>
        <v>МАОУ СОШ № 1 структурное подразделение</v>
      </c>
      <c r="B250" s="798"/>
      <c r="C250" s="798"/>
      <c r="D250" s="806">
        <f t="shared" si="151"/>
        <v>30162.2</v>
      </c>
      <c r="E250" s="798"/>
      <c r="F250" s="798"/>
      <c r="G250" s="798"/>
      <c r="H250" s="798"/>
      <c r="I250" s="798"/>
      <c r="J250" s="798"/>
      <c r="K250" s="798"/>
      <c r="L250" s="806">
        <f t="shared" si="152"/>
        <v>695.3599999999999</v>
      </c>
      <c r="M250" s="798">
        <f t="shared" si="150"/>
        <v>1</v>
      </c>
      <c r="N250" s="798">
        <f t="shared" si="150"/>
        <v>1</v>
      </c>
      <c r="O250" s="799">
        <f t="shared" si="150"/>
        <v>0</v>
      </c>
      <c r="P250" s="155"/>
      <c r="Q250" s="806">
        <f t="shared" si="153"/>
        <v>0</v>
      </c>
      <c r="R250" s="189">
        <f t="shared" si="154"/>
        <v>30857.56</v>
      </c>
    </row>
    <row r="251" spans="1:18" ht="42.6" hidden="1" customHeight="1" outlineLevel="2" x14ac:dyDescent="0.2">
      <c r="A251" s="90" t="str">
        <f t="shared" si="149"/>
        <v>МАОУ СОШ № 2 им.М.И.Грибушина структурное подразделение</v>
      </c>
      <c r="B251" s="798"/>
      <c r="C251" s="798"/>
      <c r="D251" s="806">
        <f t="shared" si="151"/>
        <v>30162.2</v>
      </c>
      <c r="E251" s="798"/>
      <c r="F251" s="798"/>
      <c r="G251" s="798"/>
      <c r="H251" s="798"/>
      <c r="I251" s="798"/>
      <c r="J251" s="798"/>
      <c r="K251" s="798"/>
      <c r="L251" s="806">
        <f t="shared" si="152"/>
        <v>695.3599999999999</v>
      </c>
      <c r="M251" s="798">
        <f t="shared" si="150"/>
        <v>1</v>
      </c>
      <c r="N251" s="798">
        <f t="shared" si="150"/>
        <v>1</v>
      </c>
      <c r="O251" s="799">
        <f t="shared" si="150"/>
        <v>0</v>
      </c>
      <c r="P251" s="155"/>
      <c r="Q251" s="806">
        <f t="shared" si="153"/>
        <v>0</v>
      </c>
      <c r="R251" s="189">
        <f t="shared" si="154"/>
        <v>30857.56</v>
      </c>
    </row>
    <row r="252" spans="1:18" ht="26.45" hidden="1" customHeight="1" outlineLevel="2" x14ac:dyDescent="0.2">
      <c r="A252" s="90" t="str">
        <f t="shared" si="149"/>
        <v>МАОУ СОШ № 10 структурное подразделение</v>
      </c>
      <c r="B252" s="798"/>
      <c r="C252" s="798"/>
      <c r="D252" s="806">
        <f t="shared" si="151"/>
        <v>30162.2</v>
      </c>
      <c r="E252" s="798"/>
      <c r="F252" s="798"/>
      <c r="G252" s="798"/>
      <c r="H252" s="798"/>
      <c r="I252" s="798"/>
      <c r="J252" s="798"/>
      <c r="K252" s="798"/>
      <c r="L252" s="806">
        <f t="shared" si="152"/>
        <v>695.3599999999999</v>
      </c>
      <c r="M252" s="798">
        <f t="shared" si="150"/>
        <v>1</v>
      </c>
      <c r="N252" s="798">
        <f t="shared" si="150"/>
        <v>1</v>
      </c>
      <c r="O252" s="799">
        <f t="shared" si="150"/>
        <v>0</v>
      </c>
      <c r="P252" s="155"/>
      <c r="Q252" s="806">
        <f t="shared" si="153"/>
        <v>0</v>
      </c>
      <c r="R252" s="189">
        <f t="shared" si="154"/>
        <v>30857.56</v>
      </c>
    </row>
    <row r="253" spans="1:18" ht="27.6" hidden="1" customHeight="1" outlineLevel="2" x14ac:dyDescent="0.2">
      <c r="A253" s="90" t="str">
        <f t="shared" si="149"/>
        <v>МАОУ СОШ № 13 структурное подразделение</v>
      </c>
      <c r="B253" s="798"/>
      <c r="C253" s="798"/>
      <c r="D253" s="806">
        <f t="shared" si="151"/>
        <v>30162.2</v>
      </c>
      <c r="E253" s="798"/>
      <c r="F253" s="798"/>
      <c r="G253" s="798"/>
      <c r="H253" s="798"/>
      <c r="I253" s="798"/>
      <c r="J253" s="798"/>
      <c r="K253" s="798"/>
      <c r="L253" s="806">
        <f t="shared" si="152"/>
        <v>695.3599999999999</v>
      </c>
      <c r="M253" s="798">
        <f t="shared" si="150"/>
        <v>1</v>
      </c>
      <c r="N253" s="798">
        <f t="shared" si="150"/>
        <v>1</v>
      </c>
      <c r="O253" s="799">
        <f t="shared" si="150"/>
        <v>0</v>
      </c>
      <c r="P253" s="155"/>
      <c r="Q253" s="806">
        <f t="shared" si="153"/>
        <v>0</v>
      </c>
      <c r="R253" s="189">
        <f t="shared" si="154"/>
        <v>30857.56</v>
      </c>
    </row>
    <row r="254" spans="1:18" ht="29.45" hidden="1" customHeight="1" outlineLevel="2" x14ac:dyDescent="0.2">
      <c r="A254" s="90" t="str">
        <f t="shared" si="149"/>
        <v>Гимназия № 16 структурное подразделение</v>
      </c>
      <c r="B254" s="798"/>
      <c r="C254" s="798"/>
      <c r="D254" s="806">
        <f t="shared" si="151"/>
        <v>30162.2</v>
      </c>
      <c r="E254" s="798"/>
      <c r="F254" s="798"/>
      <c r="G254" s="798"/>
      <c r="H254" s="798"/>
      <c r="I254" s="798"/>
      <c r="J254" s="798"/>
      <c r="K254" s="798"/>
      <c r="L254" s="806">
        <f t="shared" si="152"/>
        <v>695.3599999999999</v>
      </c>
      <c r="M254" s="798">
        <f t="shared" si="150"/>
        <v>1</v>
      </c>
      <c r="N254" s="798">
        <f t="shared" si="150"/>
        <v>1</v>
      </c>
      <c r="O254" s="799">
        <f t="shared" si="150"/>
        <v>1</v>
      </c>
      <c r="P254" s="155"/>
      <c r="Q254" s="806">
        <f t="shared" si="153"/>
        <v>30900</v>
      </c>
      <c r="R254" s="189">
        <f t="shared" si="154"/>
        <v>30857.56</v>
      </c>
    </row>
    <row r="255" spans="1:18" ht="40.9" hidden="1" customHeight="1" outlineLevel="2" x14ac:dyDescent="0.2">
      <c r="A255" s="90" t="str">
        <f t="shared" si="149"/>
        <v>МАОУ ООШ № 17 с кадетскими классами структурное подразделение</v>
      </c>
      <c r="B255" s="798"/>
      <c r="C255" s="798"/>
      <c r="D255" s="806">
        <f t="shared" si="151"/>
        <v>30162.2</v>
      </c>
      <c r="E255" s="798"/>
      <c r="F255" s="798"/>
      <c r="G255" s="798"/>
      <c r="H255" s="798"/>
      <c r="I255" s="798"/>
      <c r="J255" s="798"/>
      <c r="K255" s="798"/>
      <c r="L255" s="806">
        <f t="shared" si="152"/>
        <v>695.3599999999999</v>
      </c>
      <c r="M255" s="798">
        <f t="shared" si="150"/>
        <v>1</v>
      </c>
      <c r="N255" s="798">
        <f t="shared" si="150"/>
        <v>1</v>
      </c>
      <c r="O255" s="799">
        <f t="shared" si="150"/>
        <v>0</v>
      </c>
      <c r="P255" s="155"/>
      <c r="Q255" s="806">
        <f t="shared" si="153"/>
        <v>0</v>
      </c>
      <c r="R255" s="189">
        <f t="shared" si="154"/>
        <v>30857.56</v>
      </c>
    </row>
    <row r="256" spans="1:18" ht="57.6" hidden="1" customHeight="1" outlineLevel="1" collapsed="1" x14ac:dyDescent="0.2">
      <c r="A256" s="173" t="str">
        <f t="shared" si="149"/>
        <v>Присмотр и уход Физические лица за исключением льготных категорий От 3 лет до 8 лет Группа полного дня</v>
      </c>
      <c r="B256" s="175" t="str">
        <f>B96</f>
        <v>853211О.99.0.БВ19АА56000</v>
      </c>
      <c r="C256" s="175"/>
      <c r="D256" s="176">
        <f>'Общий 2022'!D20</f>
        <v>35596.199999999997</v>
      </c>
      <c r="E256" s="176"/>
      <c r="F256" s="176"/>
      <c r="G256" s="176"/>
      <c r="H256" s="176"/>
      <c r="I256" s="176"/>
      <c r="J256" s="176"/>
      <c r="K256" s="176"/>
      <c r="L256" s="176">
        <f>'Общий 2022'!L20</f>
        <v>534.89</v>
      </c>
      <c r="M256" s="175"/>
      <c r="N256" s="175"/>
      <c r="O256" s="768">
        <f>SUM(O257:O265)</f>
        <v>1850</v>
      </c>
      <c r="P256" s="176">
        <f>SUM(P257:P265)</f>
        <v>56661900</v>
      </c>
      <c r="Q256" s="176">
        <f>SUM(Q257:Q265)</f>
        <v>10180600</v>
      </c>
    </row>
    <row r="257" spans="1:18" ht="12.95" hidden="1" customHeight="1" outlineLevel="2" x14ac:dyDescent="0.2">
      <c r="A257" s="90" t="str">
        <f t="shared" si="149"/>
        <v>МАДОУ ЦРР-детский сад № 2</v>
      </c>
      <c r="B257" s="166"/>
      <c r="C257" s="166"/>
      <c r="D257" s="155">
        <f>$D$256</f>
        <v>35596.199999999997</v>
      </c>
      <c r="E257" s="166"/>
      <c r="F257" s="166"/>
      <c r="G257" s="166"/>
      <c r="H257" s="166"/>
      <c r="I257" s="166"/>
      <c r="J257" s="166"/>
      <c r="K257" s="166"/>
      <c r="L257" s="155">
        <f>$L$256</f>
        <v>534.89</v>
      </c>
      <c r="M257" s="166">
        <f t="shared" ref="M257:P265" si="155">M97</f>
        <v>1</v>
      </c>
      <c r="N257" s="336">
        <f t="shared" si="155"/>
        <v>1</v>
      </c>
      <c r="O257" s="741">
        <f t="shared" si="155"/>
        <v>289</v>
      </c>
      <c r="P257" s="155">
        <f t="shared" si="155"/>
        <v>8851500</v>
      </c>
      <c r="Q257" s="155">
        <f>ROUND(ROUND((C257+D257+E257+F257+G257+H257+I257+J257+K257+L257)*M257*N257,2)*O257-P257,-2)</f>
        <v>1590400</v>
      </c>
      <c r="R257" s="189">
        <f>(B257+C257+D257+E257+F257+G257+H257+I257+J257+K257+L257-'Питание норматив'!$K$40)*M257*N257</f>
        <v>1551.0899999999965</v>
      </c>
    </row>
    <row r="258" spans="1:18" ht="12.95" hidden="1" customHeight="1" outlineLevel="2" x14ac:dyDescent="0.2">
      <c r="A258" s="90" t="str">
        <f t="shared" si="149"/>
        <v>МАДОУ ЦРР-детский сад № 11</v>
      </c>
      <c r="B258" s="166"/>
      <c r="C258" s="166"/>
      <c r="D258" s="155">
        <f t="shared" ref="D258:D265" si="156">$D$256</f>
        <v>35596.199999999997</v>
      </c>
      <c r="E258" s="166"/>
      <c r="F258" s="166"/>
      <c r="G258" s="166"/>
      <c r="H258" s="166"/>
      <c r="I258" s="166"/>
      <c r="J258" s="166"/>
      <c r="K258" s="166"/>
      <c r="L258" s="155">
        <f t="shared" ref="L258:L265" si="157">$L$256</f>
        <v>534.89</v>
      </c>
      <c r="M258" s="336">
        <f t="shared" si="155"/>
        <v>1</v>
      </c>
      <c r="N258" s="336">
        <f t="shared" si="155"/>
        <v>1</v>
      </c>
      <c r="O258" s="741">
        <f t="shared" si="155"/>
        <v>275</v>
      </c>
      <c r="P258" s="155">
        <f t="shared" si="155"/>
        <v>8422700</v>
      </c>
      <c r="Q258" s="806">
        <f t="shared" ref="Q258:Q265" si="158">ROUND(ROUND((C258+D258+E258+F258+G258+H258+I258+J258+K258+L258)*M258*N258,2)*O258-P258,-2)</f>
        <v>1513300</v>
      </c>
      <c r="R258" s="189">
        <f>(B258+C258+D258+E258+F258+G258+H258+I258+J258+K258+L258-'Питание норматив'!$K$40)*M258*N258</f>
        <v>1551.0899999999965</v>
      </c>
    </row>
    <row r="259" spans="1:18" ht="12.95" hidden="1" customHeight="1" outlineLevel="2" x14ac:dyDescent="0.2">
      <c r="A259" s="90" t="str">
        <f t="shared" si="149"/>
        <v>МАДОУ ЦРР-детский сад № 13</v>
      </c>
      <c r="B259" s="166"/>
      <c r="C259" s="166"/>
      <c r="D259" s="155">
        <f t="shared" si="156"/>
        <v>35596.199999999997</v>
      </c>
      <c r="E259" s="166"/>
      <c r="F259" s="166"/>
      <c r="G259" s="166"/>
      <c r="H259" s="166"/>
      <c r="I259" s="166"/>
      <c r="J259" s="166"/>
      <c r="K259" s="166"/>
      <c r="L259" s="155">
        <f t="shared" si="157"/>
        <v>534.89</v>
      </c>
      <c r="M259" s="336">
        <f t="shared" si="155"/>
        <v>1</v>
      </c>
      <c r="N259" s="336">
        <f t="shared" si="155"/>
        <v>1</v>
      </c>
      <c r="O259" s="741">
        <f t="shared" si="155"/>
        <v>331</v>
      </c>
      <c r="P259" s="155">
        <f t="shared" si="155"/>
        <v>10137900</v>
      </c>
      <c r="Q259" s="806">
        <f t="shared" si="158"/>
        <v>1821500</v>
      </c>
      <c r="R259" s="189">
        <f>(B259+C259+D259+E259+F259+G259+H259+I259+J259+K259+L259-'Питание норматив'!$K$40)*M259*N259</f>
        <v>1551.0899999999965</v>
      </c>
    </row>
    <row r="260" spans="1:18" ht="30" hidden="1" customHeight="1" outlineLevel="2" x14ac:dyDescent="0.2">
      <c r="A260" s="90" t="str">
        <f t="shared" si="149"/>
        <v>МАОУ СОШ № 1 структурное подразделение</v>
      </c>
      <c r="B260" s="166"/>
      <c r="C260" s="166"/>
      <c r="D260" s="155">
        <f t="shared" si="156"/>
        <v>35596.199999999997</v>
      </c>
      <c r="E260" s="166"/>
      <c r="F260" s="166"/>
      <c r="G260" s="166"/>
      <c r="H260" s="166"/>
      <c r="I260" s="166"/>
      <c r="J260" s="166"/>
      <c r="K260" s="166"/>
      <c r="L260" s="155">
        <f t="shared" si="157"/>
        <v>534.89</v>
      </c>
      <c r="M260" s="336">
        <f t="shared" si="155"/>
        <v>1</v>
      </c>
      <c r="N260" s="336">
        <f t="shared" si="155"/>
        <v>1</v>
      </c>
      <c r="O260" s="741">
        <f t="shared" si="155"/>
        <v>245</v>
      </c>
      <c r="P260" s="155">
        <f t="shared" si="155"/>
        <v>7503900</v>
      </c>
      <c r="Q260" s="806">
        <f t="shared" si="158"/>
        <v>1348200</v>
      </c>
      <c r="R260" s="189">
        <f>(B260+C260+D260+E260+F260+G260+H260+I260+J260+K260+L260-'Питание норматив'!$K$40)*M260*N260</f>
        <v>1551.0899999999965</v>
      </c>
    </row>
    <row r="261" spans="1:18" ht="43.15" hidden="1" customHeight="1" outlineLevel="2" x14ac:dyDescent="0.2">
      <c r="A261" s="90" t="str">
        <f t="shared" si="149"/>
        <v>МАОУ СОШ № 2 им.М.И.Грибушина структурное подразделение</v>
      </c>
      <c r="B261" s="166"/>
      <c r="C261" s="166"/>
      <c r="D261" s="155">
        <f t="shared" si="156"/>
        <v>35596.199999999997</v>
      </c>
      <c r="E261" s="166"/>
      <c r="F261" s="166"/>
      <c r="G261" s="166"/>
      <c r="H261" s="166"/>
      <c r="I261" s="166"/>
      <c r="J261" s="166"/>
      <c r="K261" s="166"/>
      <c r="L261" s="155">
        <f t="shared" si="157"/>
        <v>534.89</v>
      </c>
      <c r="M261" s="336">
        <f t="shared" si="155"/>
        <v>1</v>
      </c>
      <c r="N261" s="336">
        <f t="shared" si="155"/>
        <v>1</v>
      </c>
      <c r="O261" s="741">
        <f t="shared" si="155"/>
        <v>153</v>
      </c>
      <c r="P261" s="155">
        <f t="shared" si="155"/>
        <v>4686100</v>
      </c>
      <c r="Q261" s="806">
        <f t="shared" si="158"/>
        <v>842000</v>
      </c>
      <c r="R261" s="189">
        <f>(B261+C261+D261+E261+F261+G261+H261+I261+J261+K261+L261-'Питание норматив'!$K$40)*M261*N261</f>
        <v>1551.0899999999965</v>
      </c>
    </row>
    <row r="262" spans="1:18" ht="28.9" hidden="1" customHeight="1" outlineLevel="2" x14ac:dyDescent="0.2">
      <c r="A262" s="90" t="str">
        <f t="shared" si="149"/>
        <v>МАОУ СОШ № 10 структурное подразделение</v>
      </c>
      <c r="B262" s="166"/>
      <c r="C262" s="166"/>
      <c r="D262" s="155">
        <f t="shared" si="156"/>
        <v>35596.199999999997</v>
      </c>
      <c r="E262" s="166"/>
      <c r="F262" s="166"/>
      <c r="G262" s="166"/>
      <c r="H262" s="166"/>
      <c r="I262" s="166"/>
      <c r="J262" s="166"/>
      <c r="K262" s="166"/>
      <c r="L262" s="155">
        <f t="shared" si="157"/>
        <v>534.89</v>
      </c>
      <c r="M262" s="336">
        <f t="shared" si="155"/>
        <v>1</v>
      </c>
      <c r="N262" s="336">
        <f t="shared" si="155"/>
        <v>1</v>
      </c>
      <c r="O262" s="741">
        <f t="shared" si="155"/>
        <v>146</v>
      </c>
      <c r="P262" s="155">
        <f t="shared" si="155"/>
        <v>4471700</v>
      </c>
      <c r="Q262" s="806">
        <f t="shared" si="158"/>
        <v>803400</v>
      </c>
      <c r="R262" s="189">
        <f>(B262+C262+D262+E262+F262+G262+H262+I262+J262+K262+L262-'Питание норматив'!$K$40)*M262*N262</f>
        <v>1551.0899999999965</v>
      </c>
    </row>
    <row r="263" spans="1:18" ht="29.45" hidden="1" customHeight="1" outlineLevel="2" x14ac:dyDescent="0.2">
      <c r="A263" s="90" t="str">
        <f t="shared" si="149"/>
        <v>МАОУ СОШ № 13 структурное подразделение</v>
      </c>
      <c r="B263" s="166"/>
      <c r="C263" s="166"/>
      <c r="D263" s="155">
        <f t="shared" si="156"/>
        <v>35596.199999999997</v>
      </c>
      <c r="E263" s="166"/>
      <c r="F263" s="166"/>
      <c r="G263" s="166"/>
      <c r="H263" s="166"/>
      <c r="I263" s="166"/>
      <c r="J263" s="166"/>
      <c r="K263" s="166"/>
      <c r="L263" s="155">
        <f t="shared" si="157"/>
        <v>534.89</v>
      </c>
      <c r="M263" s="336">
        <f t="shared" si="155"/>
        <v>1</v>
      </c>
      <c r="N263" s="336">
        <f t="shared" si="155"/>
        <v>1</v>
      </c>
      <c r="O263" s="741">
        <f t="shared" si="155"/>
        <v>99</v>
      </c>
      <c r="P263" s="155">
        <f t="shared" si="155"/>
        <v>3032200</v>
      </c>
      <c r="Q263" s="806">
        <f t="shared" si="158"/>
        <v>544800</v>
      </c>
      <c r="R263" s="189">
        <f>(B263+C263+D263+E263+F263+G263+H263+I263+J263+K263+L263-'Питание норматив'!$K$40)*M263*N263</f>
        <v>1551.0899999999965</v>
      </c>
    </row>
    <row r="264" spans="1:18" ht="28.15" hidden="1" customHeight="1" outlineLevel="2" x14ac:dyDescent="0.2">
      <c r="A264" s="90" t="str">
        <f t="shared" si="149"/>
        <v>Гимназия № 16 структурное подразделение</v>
      </c>
      <c r="B264" s="166"/>
      <c r="C264" s="166"/>
      <c r="D264" s="155">
        <f t="shared" si="156"/>
        <v>35596.199999999997</v>
      </c>
      <c r="E264" s="166"/>
      <c r="F264" s="166"/>
      <c r="G264" s="166"/>
      <c r="H264" s="166"/>
      <c r="I264" s="166"/>
      <c r="J264" s="166"/>
      <c r="K264" s="166"/>
      <c r="L264" s="155">
        <f t="shared" si="157"/>
        <v>534.89</v>
      </c>
      <c r="M264" s="336">
        <f t="shared" si="155"/>
        <v>1</v>
      </c>
      <c r="N264" s="336">
        <f t="shared" si="155"/>
        <v>1</v>
      </c>
      <c r="O264" s="741">
        <f t="shared" si="155"/>
        <v>250</v>
      </c>
      <c r="P264" s="155">
        <f t="shared" si="155"/>
        <v>7657000</v>
      </c>
      <c r="Q264" s="806">
        <f t="shared" si="158"/>
        <v>1375800</v>
      </c>
      <c r="R264" s="189">
        <f>(B264+C264+D264+E264+F264+G264+H264+I264+J264+K264+L264-'Питание норматив'!$K$40)*M264*N264</f>
        <v>1551.0899999999965</v>
      </c>
    </row>
    <row r="265" spans="1:18" ht="41.45" hidden="1" customHeight="1" outlineLevel="2" x14ac:dyDescent="0.2">
      <c r="A265" s="90" t="str">
        <f t="shared" si="149"/>
        <v>МАОУ ООШ № 17 с кадетскими классами структурное подразделение</v>
      </c>
      <c r="B265" s="166"/>
      <c r="C265" s="166"/>
      <c r="D265" s="155">
        <f t="shared" si="156"/>
        <v>35596.199999999997</v>
      </c>
      <c r="E265" s="166"/>
      <c r="F265" s="166"/>
      <c r="G265" s="166"/>
      <c r="H265" s="166"/>
      <c r="I265" s="166"/>
      <c r="J265" s="166"/>
      <c r="K265" s="166"/>
      <c r="L265" s="155">
        <f t="shared" si="157"/>
        <v>534.89</v>
      </c>
      <c r="M265" s="336">
        <f t="shared" si="155"/>
        <v>1</v>
      </c>
      <c r="N265" s="336">
        <f t="shared" si="155"/>
        <v>1</v>
      </c>
      <c r="O265" s="741">
        <f t="shared" si="155"/>
        <v>62</v>
      </c>
      <c r="P265" s="155">
        <f t="shared" si="155"/>
        <v>1898900</v>
      </c>
      <c r="Q265" s="806">
        <f t="shared" si="158"/>
        <v>341200</v>
      </c>
      <c r="R265" s="189">
        <f>(B265+C265+D265+E265+F265+G265+H265+I265+J265+K265+L265-'Питание норматив'!$K$40)*M265*N265</f>
        <v>1551.0899999999965</v>
      </c>
    </row>
    <row r="266" spans="1:18" ht="58.5" hidden="1" customHeight="1" outlineLevel="1" collapsed="1" x14ac:dyDescent="0.2">
      <c r="A266" s="173" t="str">
        <f t="shared" si="149"/>
        <v>Присмотр и уход Физические лица льготных категорий, определяемых учредителем От 3 года до 8 лет Группа полного дня</v>
      </c>
      <c r="B266" s="175" t="str">
        <f>B106</f>
        <v>853212О.99.0.БВ23АГ08000</v>
      </c>
      <c r="C266" s="175"/>
      <c r="D266" s="176">
        <f>'Общий 2022'!D16</f>
        <v>35596.199999999997</v>
      </c>
      <c r="E266" s="176"/>
      <c r="F266" s="176"/>
      <c r="G266" s="176"/>
      <c r="H266" s="176"/>
      <c r="I266" s="176"/>
      <c r="J266" s="176"/>
      <c r="K266" s="176"/>
      <c r="L266" s="176">
        <f>'Общий 2022'!L16</f>
        <v>534.89</v>
      </c>
      <c r="M266" s="175"/>
      <c r="N266" s="175"/>
      <c r="O266" s="768">
        <f>SUM(O267:O275)</f>
        <v>186</v>
      </c>
      <c r="P266" s="176">
        <f>SUM(P267:P275)</f>
        <v>2848500</v>
      </c>
      <c r="Q266" s="176">
        <f>SUM(Q267:Q275)</f>
        <v>3871800</v>
      </c>
    </row>
    <row r="267" spans="1:18" hidden="1" outlineLevel="2" x14ac:dyDescent="0.2">
      <c r="A267" s="90" t="str">
        <f t="shared" si="149"/>
        <v>МАДОУ ЦРР-детский сад № 2</v>
      </c>
      <c r="B267" s="166"/>
      <c r="C267" s="166"/>
      <c r="D267" s="155">
        <f>$D$266</f>
        <v>35596.199999999997</v>
      </c>
      <c r="E267" s="166"/>
      <c r="F267" s="166"/>
      <c r="G267" s="166"/>
      <c r="H267" s="166"/>
      <c r="I267" s="166"/>
      <c r="J267" s="166"/>
      <c r="K267" s="166"/>
      <c r="L267" s="155">
        <f>$L$266</f>
        <v>534.89</v>
      </c>
      <c r="M267" s="166">
        <f t="shared" ref="M267:P275" si="159">M107</f>
        <v>1</v>
      </c>
      <c r="N267" s="336">
        <f t="shared" si="159"/>
        <v>1</v>
      </c>
      <c r="O267" s="741">
        <f t="shared" si="159"/>
        <v>27</v>
      </c>
      <c r="P267" s="155">
        <f t="shared" si="159"/>
        <v>413500</v>
      </c>
      <c r="Q267" s="155">
        <f>ROUND(ROUND((C267+D267+E267+F267+G267+H267+I267+J267+K267+L267)*M267*N267,2)*O267-P267,-2)</f>
        <v>562000</v>
      </c>
      <c r="R267" s="189">
        <f>(B267+C267+D267+E267+F267+G267+H267+I267+J267+K267+L267-'Питание норматив'!$K$40*50%)*M267*N267</f>
        <v>18841.089999999997</v>
      </c>
    </row>
    <row r="268" spans="1:18" hidden="1" outlineLevel="2" x14ac:dyDescent="0.2">
      <c r="A268" s="90" t="str">
        <f t="shared" si="149"/>
        <v>МАДОУ ЦРР-детский сад № 11</v>
      </c>
      <c r="B268" s="166"/>
      <c r="C268" s="166"/>
      <c r="D268" s="155">
        <f t="shared" ref="D268:D275" si="160">$D$266</f>
        <v>35596.199999999997</v>
      </c>
      <c r="E268" s="166"/>
      <c r="F268" s="166"/>
      <c r="G268" s="166"/>
      <c r="H268" s="166"/>
      <c r="I268" s="166"/>
      <c r="J268" s="166"/>
      <c r="K268" s="166"/>
      <c r="L268" s="155">
        <f t="shared" ref="L268:L275" si="161">$L$266</f>
        <v>534.89</v>
      </c>
      <c r="M268" s="336">
        <f t="shared" si="159"/>
        <v>1</v>
      </c>
      <c r="N268" s="336">
        <f t="shared" si="159"/>
        <v>1</v>
      </c>
      <c r="O268" s="741">
        <f t="shared" si="159"/>
        <v>33</v>
      </c>
      <c r="P268" s="155">
        <f t="shared" si="159"/>
        <v>505400</v>
      </c>
      <c r="Q268" s="806">
        <f t="shared" ref="Q268:Q275" si="162">ROUND(ROUND((C268+D268+E268+F268+G268+H268+I268+J268+K268+L268)*M268*N268,2)*O268-P268,-2)</f>
        <v>686900</v>
      </c>
      <c r="R268" s="189">
        <f>(B268+C268+D268+E268+F268+G268+H268+I268+J268+K268+L268-'Питание норматив'!$K$40*50%)*M268*N268</f>
        <v>18841.089999999997</v>
      </c>
    </row>
    <row r="269" spans="1:18" hidden="1" outlineLevel="2" x14ac:dyDescent="0.2">
      <c r="A269" s="90" t="str">
        <f t="shared" si="149"/>
        <v>МАДОУ ЦРР-детский сад № 13</v>
      </c>
      <c r="B269" s="166"/>
      <c r="C269" s="166"/>
      <c r="D269" s="155">
        <f t="shared" si="160"/>
        <v>35596.199999999997</v>
      </c>
      <c r="E269" s="166"/>
      <c r="F269" s="166"/>
      <c r="G269" s="166"/>
      <c r="H269" s="166"/>
      <c r="I269" s="166"/>
      <c r="J269" s="166"/>
      <c r="K269" s="166"/>
      <c r="L269" s="155">
        <f t="shared" si="161"/>
        <v>534.89</v>
      </c>
      <c r="M269" s="336">
        <f t="shared" si="159"/>
        <v>1</v>
      </c>
      <c r="N269" s="336">
        <f t="shared" si="159"/>
        <v>1</v>
      </c>
      <c r="O269" s="741">
        <f t="shared" si="159"/>
        <v>76</v>
      </c>
      <c r="P269" s="155">
        <f t="shared" si="159"/>
        <v>1163900</v>
      </c>
      <c r="Q269" s="806">
        <f t="shared" si="162"/>
        <v>1582100</v>
      </c>
      <c r="R269" s="189">
        <f>(B269+C269+D269+E269+F269+G269+H269+I269+J269+K269+L269-'Питание норматив'!$K$40*50%)*M269*N269</f>
        <v>18841.089999999997</v>
      </c>
    </row>
    <row r="270" spans="1:18" ht="27" hidden="1" customHeight="1" outlineLevel="2" x14ac:dyDescent="0.2">
      <c r="A270" s="90" t="str">
        <f t="shared" si="149"/>
        <v>МАОУ СОШ № 1 структурное подразделение</v>
      </c>
      <c r="B270" s="166"/>
      <c r="C270" s="166"/>
      <c r="D270" s="155">
        <f t="shared" si="160"/>
        <v>35596.199999999997</v>
      </c>
      <c r="E270" s="166"/>
      <c r="F270" s="166"/>
      <c r="G270" s="166"/>
      <c r="H270" s="166"/>
      <c r="I270" s="166"/>
      <c r="J270" s="166"/>
      <c r="K270" s="166"/>
      <c r="L270" s="155">
        <f t="shared" si="161"/>
        <v>534.89</v>
      </c>
      <c r="M270" s="336">
        <f t="shared" si="159"/>
        <v>1</v>
      </c>
      <c r="N270" s="336">
        <f t="shared" si="159"/>
        <v>1</v>
      </c>
      <c r="O270" s="741">
        <f t="shared" si="159"/>
        <v>14</v>
      </c>
      <c r="P270" s="155">
        <f t="shared" si="159"/>
        <v>214400</v>
      </c>
      <c r="Q270" s="806">
        <f t="shared" si="162"/>
        <v>291400</v>
      </c>
      <c r="R270" s="189">
        <f>(B270+C270+D270+E270+F270+G270+H270+I270+J270+K270+L270-'Питание норматив'!$K$40*50%)*M270*N270</f>
        <v>18841.089999999997</v>
      </c>
    </row>
    <row r="271" spans="1:18" ht="38.25" hidden="1" outlineLevel="2" x14ac:dyDescent="0.2">
      <c r="A271" s="90" t="str">
        <f t="shared" si="149"/>
        <v>МАОУ СОШ № 2 им.М.И.Грибушина структурное подразделение</v>
      </c>
      <c r="B271" s="166"/>
      <c r="C271" s="166"/>
      <c r="D271" s="155">
        <f t="shared" si="160"/>
        <v>35596.199999999997</v>
      </c>
      <c r="E271" s="166"/>
      <c r="F271" s="166"/>
      <c r="G271" s="166"/>
      <c r="H271" s="166"/>
      <c r="I271" s="166"/>
      <c r="J271" s="166"/>
      <c r="K271" s="166"/>
      <c r="L271" s="155">
        <f t="shared" si="161"/>
        <v>534.89</v>
      </c>
      <c r="M271" s="336">
        <f t="shared" si="159"/>
        <v>1</v>
      </c>
      <c r="N271" s="336">
        <f t="shared" si="159"/>
        <v>1</v>
      </c>
      <c r="O271" s="741">
        <f t="shared" si="159"/>
        <v>12</v>
      </c>
      <c r="P271" s="155">
        <f t="shared" si="159"/>
        <v>183800</v>
      </c>
      <c r="Q271" s="806">
        <f t="shared" si="162"/>
        <v>249800</v>
      </c>
      <c r="R271" s="189">
        <f>(B271+C271+D271+E271+F271+G271+H271+I271+J271+K271+L271-'Питание норматив'!$K$40*50%)*M271*N271</f>
        <v>18841.089999999997</v>
      </c>
    </row>
    <row r="272" spans="1:18" ht="25.5" hidden="1" outlineLevel="2" x14ac:dyDescent="0.2">
      <c r="A272" s="90" t="str">
        <f t="shared" si="149"/>
        <v>МАОУ СОШ № 10 структурное подразделение</v>
      </c>
      <c r="B272" s="166"/>
      <c r="C272" s="166"/>
      <c r="D272" s="155">
        <f t="shared" si="160"/>
        <v>35596.199999999997</v>
      </c>
      <c r="E272" s="166"/>
      <c r="F272" s="166"/>
      <c r="G272" s="166"/>
      <c r="H272" s="166"/>
      <c r="I272" s="166"/>
      <c r="J272" s="166"/>
      <c r="K272" s="166"/>
      <c r="L272" s="155">
        <f t="shared" si="161"/>
        <v>534.89</v>
      </c>
      <c r="M272" s="336">
        <f t="shared" si="159"/>
        <v>1</v>
      </c>
      <c r="N272" s="336">
        <f t="shared" si="159"/>
        <v>1</v>
      </c>
      <c r="O272" s="741">
        <f t="shared" si="159"/>
        <v>8</v>
      </c>
      <c r="P272" s="155">
        <f t="shared" si="159"/>
        <v>122500</v>
      </c>
      <c r="Q272" s="806">
        <f t="shared" si="162"/>
        <v>166500</v>
      </c>
      <c r="R272" s="189">
        <f>(B272+C272+D272+E272+F272+G272+H272+I272+J272+K272+L272-'Питание норматив'!$K$40*50%)*M272*N272</f>
        <v>18841.089999999997</v>
      </c>
    </row>
    <row r="273" spans="1:18" ht="28.15" hidden="1" customHeight="1" outlineLevel="2" x14ac:dyDescent="0.2">
      <c r="A273" s="90" t="str">
        <f t="shared" si="149"/>
        <v>МАОУ СОШ № 13 структурное подразделение</v>
      </c>
      <c r="B273" s="166"/>
      <c r="C273" s="166"/>
      <c r="D273" s="155">
        <f t="shared" si="160"/>
        <v>35596.199999999997</v>
      </c>
      <c r="E273" s="166"/>
      <c r="F273" s="166"/>
      <c r="G273" s="166"/>
      <c r="H273" s="166"/>
      <c r="I273" s="166"/>
      <c r="J273" s="166"/>
      <c r="K273" s="166"/>
      <c r="L273" s="155">
        <f t="shared" si="161"/>
        <v>534.89</v>
      </c>
      <c r="M273" s="336">
        <f t="shared" si="159"/>
        <v>1</v>
      </c>
      <c r="N273" s="336">
        <f t="shared" si="159"/>
        <v>1</v>
      </c>
      <c r="O273" s="741">
        <f t="shared" si="159"/>
        <v>5</v>
      </c>
      <c r="P273" s="155">
        <f t="shared" si="159"/>
        <v>76600</v>
      </c>
      <c r="Q273" s="806">
        <f t="shared" si="162"/>
        <v>104100</v>
      </c>
      <c r="R273" s="189">
        <f>(B273+C273+D273+E273+F273+G273+H273+I273+J273+K273+L273-'Питание норматив'!$K$40*50%)*M273*N273</f>
        <v>18841.089999999997</v>
      </c>
    </row>
    <row r="274" spans="1:18" ht="25.5" hidden="1" outlineLevel="2" x14ac:dyDescent="0.2">
      <c r="A274" s="90" t="str">
        <f t="shared" si="149"/>
        <v>Гимназия № 16 структурное подразделение</v>
      </c>
      <c r="B274" s="166"/>
      <c r="C274" s="166"/>
      <c r="D274" s="155">
        <f t="shared" si="160"/>
        <v>35596.199999999997</v>
      </c>
      <c r="E274" s="166"/>
      <c r="F274" s="166"/>
      <c r="G274" s="166"/>
      <c r="H274" s="166"/>
      <c r="I274" s="166"/>
      <c r="J274" s="166"/>
      <c r="K274" s="166"/>
      <c r="L274" s="155">
        <f t="shared" si="161"/>
        <v>534.89</v>
      </c>
      <c r="M274" s="336">
        <f t="shared" si="159"/>
        <v>1</v>
      </c>
      <c r="N274" s="336">
        <f t="shared" si="159"/>
        <v>1</v>
      </c>
      <c r="O274" s="741">
        <f t="shared" si="159"/>
        <v>10</v>
      </c>
      <c r="P274" s="155">
        <f t="shared" si="159"/>
        <v>153100</v>
      </c>
      <c r="Q274" s="806">
        <f t="shared" si="162"/>
        <v>208200</v>
      </c>
      <c r="R274" s="189">
        <f>(B274+C274+D274+E274+F274+G274+H274+I274+J274+K274+L274-'Питание норматив'!$K$40*50%)*M274*N274</f>
        <v>18841.089999999997</v>
      </c>
    </row>
    <row r="275" spans="1:18" ht="43.9" hidden="1" customHeight="1" outlineLevel="2" x14ac:dyDescent="0.2">
      <c r="A275" s="90" t="str">
        <f t="shared" si="149"/>
        <v>МАОУ ООШ № 17 с кадетскими классами структурное подразделение</v>
      </c>
      <c r="B275" s="166"/>
      <c r="C275" s="166"/>
      <c r="D275" s="155">
        <f t="shared" si="160"/>
        <v>35596.199999999997</v>
      </c>
      <c r="E275" s="166"/>
      <c r="F275" s="166"/>
      <c r="G275" s="166"/>
      <c r="H275" s="166"/>
      <c r="I275" s="166"/>
      <c r="J275" s="166"/>
      <c r="K275" s="166"/>
      <c r="L275" s="155">
        <f t="shared" si="161"/>
        <v>534.89</v>
      </c>
      <c r="M275" s="336">
        <f t="shared" si="159"/>
        <v>1</v>
      </c>
      <c r="N275" s="336">
        <f t="shared" si="159"/>
        <v>1</v>
      </c>
      <c r="O275" s="741">
        <f t="shared" si="159"/>
        <v>1</v>
      </c>
      <c r="P275" s="155">
        <f t="shared" si="159"/>
        <v>15300</v>
      </c>
      <c r="Q275" s="806">
        <f t="shared" si="162"/>
        <v>20800</v>
      </c>
      <c r="R275" s="189">
        <f>(B275+C275+D275+E275+F275+G275+H275+I275+J275+K275+L275-'Питание норматив'!$K$40*50%)*M275*N275</f>
        <v>18841.089999999997</v>
      </c>
    </row>
    <row r="276" spans="1:18" ht="54.75" hidden="1" customHeight="1" outlineLevel="1" collapsed="1" x14ac:dyDescent="0.2">
      <c r="A276" s="173" t="str">
        <f t="shared" si="149"/>
        <v>Присмотр и уход Дети-сироты и дети, оставшиеся без попечения родителей От 3 лет до 8 лет Группа полного дня</v>
      </c>
      <c r="B276" s="174" t="str">
        <f>B116</f>
        <v>853211О.99.0.БВ19АА98000</v>
      </c>
      <c r="C276" s="175"/>
      <c r="D276" s="176">
        <f>'Общий 2022'!D18</f>
        <v>35596.199999999997</v>
      </c>
      <c r="E276" s="176"/>
      <c r="F276" s="176"/>
      <c r="G276" s="176"/>
      <c r="H276" s="176"/>
      <c r="I276" s="176"/>
      <c r="J276" s="176"/>
      <c r="K276" s="176"/>
      <c r="L276" s="176">
        <f>'Общий 2022'!L18</f>
        <v>534.89</v>
      </c>
      <c r="M276" s="175"/>
      <c r="N276" s="175"/>
      <c r="O276" s="768">
        <f>SUM(O277:O285)</f>
        <v>24</v>
      </c>
      <c r="P276" s="176">
        <f>SUM(P277:P285)</f>
        <v>0</v>
      </c>
      <c r="Q276" s="176">
        <f>SUM(Q277:Q285)</f>
        <v>867000</v>
      </c>
    </row>
    <row r="277" spans="1:18" ht="12.95" hidden="1" customHeight="1" outlineLevel="2" x14ac:dyDescent="0.2">
      <c r="A277" s="90" t="str">
        <f t="shared" si="149"/>
        <v>МАДОУ ЦРР-детский сад № 2</v>
      </c>
      <c r="B277" s="166"/>
      <c r="C277" s="166"/>
      <c r="D277" s="155">
        <f>$D$276</f>
        <v>35596.199999999997</v>
      </c>
      <c r="E277" s="166"/>
      <c r="F277" s="166"/>
      <c r="G277" s="166"/>
      <c r="H277" s="166"/>
      <c r="I277" s="166"/>
      <c r="J277" s="166"/>
      <c r="K277" s="166"/>
      <c r="L277" s="155">
        <f>$L$276</f>
        <v>534.89</v>
      </c>
      <c r="M277" s="166">
        <f t="shared" ref="M277:O285" si="163">M117</f>
        <v>1</v>
      </c>
      <c r="N277" s="336">
        <f t="shared" si="163"/>
        <v>1</v>
      </c>
      <c r="O277" s="741">
        <f t="shared" si="163"/>
        <v>4</v>
      </c>
      <c r="P277" s="155"/>
      <c r="Q277" s="155">
        <f>ROUND(ROUND((C277+D277+E277+F277+G277+H277+I277+J277+K277+L277)*M277*N277,2)*O277-P277,-2)</f>
        <v>144500</v>
      </c>
      <c r="R277" s="189">
        <f>(B277+C277+D277+E277+F277+G277+H277+I277+J277+K277+L277)*M277*N277</f>
        <v>36131.089999999997</v>
      </c>
    </row>
    <row r="278" spans="1:18" ht="12.95" hidden="1" customHeight="1" outlineLevel="2" x14ac:dyDescent="0.2">
      <c r="A278" s="90" t="str">
        <f t="shared" si="149"/>
        <v>МАДОУ ЦРР-детский сад № 11</v>
      </c>
      <c r="B278" s="166"/>
      <c r="C278" s="166"/>
      <c r="D278" s="155">
        <f t="shared" ref="D278:D285" si="164">$D$276</f>
        <v>35596.199999999997</v>
      </c>
      <c r="E278" s="166"/>
      <c r="F278" s="166"/>
      <c r="G278" s="166"/>
      <c r="H278" s="166"/>
      <c r="I278" s="166"/>
      <c r="J278" s="166"/>
      <c r="K278" s="166"/>
      <c r="L278" s="155">
        <f t="shared" ref="L278:L285" si="165">$L$276</f>
        <v>534.89</v>
      </c>
      <c r="M278" s="336">
        <f t="shared" si="163"/>
        <v>1</v>
      </c>
      <c r="N278" s="336">
        <f t="shared" si="163"/>
        <v>1</v>
      </c>
      <c r="O278" s="741">
        <f t="shared" si="163"/>
        <v>4</v>
      </c>
      <c r="P278" s="155"/>
      <c r="Q278" s="806">
        <f t="shared" ref="Q278:Q285" si="166">ROUND(ROUND((C278+D278+E278+F278+G278+H278+I278+J278+K278+L278)*M278*N278,2)*O278-P278,-2)</f>
        <v>144500</v>
      </c>
      <c r="R278" s="189">
        <f t="shared" ref="R278:R285" si="167">(B278+C278+D278+E278+F278+G278+H278+I278+J278+K278+L278)*M278*N278</f>
        <v>36131.089999999997</v>
      </c>
    </row>
    <row r="279" spans="1:18" ht="12.95" hidden="1" customHeight="1" outlineLevel="2" x14ac:dyDescent="0.2">
      <c r="A279" s="90" t="str">
        <f t="shared" ref="A279:A305" si="168">A119</f>
        <v>МАДОУ ЦРР-детский сад № 13</v>
      </c>
      <c r="B279" s="166"/>
      <c r="C279" s="166"/>
      <c r="D279" s="155">
        <f t="shared" si="164"/>
        <v>35596.199999999997</v>
      </c>
      <c r="E279" s="166"/>
      <c r="F279" s="166"/>
      <c r="G279" s="166"/>
      <c r="H279" s="166"/>
      <c r="I279" s="166"/>
      <c r="J279" s="166"/>
      <c r="K279" s="166"/>
      <c r="L279" s="155">
        <f t="shared" si="165"/>
        <v>534.89</v>
      </c>
      <c r="M279" s="336">
        <f t="shared" si="163"/>
        <v>1</v>
      </c>
      <c r="N279" s="336">
        <f t="shared" si="163"/>
        <v>1</v>
      </c>
      <c r="O279" s="741">
        <f t="shared" si="163"/>
        <v>1</v>
      </c>
      <c r="P279" s="155"/>
      <c r="Q279" s="806">
        <f t="shared" si="166"/>
        <v>36100</v>
      </c>
      <c r="R279" s="189">
        <f t="shared" si="167"/>
        <v>36131.089999999997</v>
      </c>
    </row>
    <row r="280" spans="1:18" ht="28.15" hidden="1" customHeight="1" outlineLevel="2" x14ac:dyDescent="0.2">
      <c r="A280" s="90" t="str">
        <f t="shared" si="168"/>
        <v>МАОУ СОШ № 1 структурное подразделение</v>
      </c>
      <c r="B280" s="166"/>
      <c r="C280" s="166"/>
      <c r="D280" s="155">
        <f t="shared" si="164"/>
        <v>35596.199999999997</v>
      </c>
      <c r="E280" s="166"/>
      <c r="F280" s="166"/>
      <c r="G280" s="166"/>
      <c r="H280" s="166"/>
      <c r="I280" s="166"/>
      <c r="J280" s="166"/>
      <c r="K280" s="166"/>
      <c r="L280" s="155">
        <f t="shared" si="165"/>
        <v>534.89</v>
      </c>
      <c r="M280" s="336">
        <f t="shared" si="163"/>
        <v>1</v>
      </c>
      <c r="N280" s="336">
        <f t="shared" si="163"/>
        <v>1</v>
      </c>
      <c r="O280" s="741">
        <f t="shared" si="163"/>
        <v>1</v>
      </c>
      <c r="P280" s="155"/>
      <c r="Q280" s="806">
        <f t="shared" si="166"/>
        <v>36100</v>
      </c>
      <c r="R280" s="189">
        <f t="shared" si="167"/>
        <v>36131.089999999997</v>
      </c>
    </row>
    <row r="281" spans="1:18" ht="43.15" hidden="1" customHeight="1" outlineLevel="2" x14ac:dyDescent="0.2">
      <c r="A281" s="90" t="str">
        <f t="shared" si="168"/>
        <v>МАОУ СОШ № 2 им.М.И.Грибушина структурное подразделение</v>
      </c>
      <c r="B281" s="166"/>
      <c r="C281" s="166"/>
      <c r="D281" s="155">
        <f t="shared" si="164"/>
        <v>35596.199999999997</v>
      </c>
      <c r="E281" s="166"/>
      <c r="F281" s="166"/>
      <c r="G281" s="166"/>
      <c r="H281" s="166"/>
      <c r="I281" s="166"/>
      <c r="J281" s="166"/>
      <c r="K281" s="166"/>
      <c r="L281" s="155">
        <f t="shared" si="165"/>
        <v>534.89</v>
      </c>
      <c r="M281" s="336">
        <f t="shared" si="163"/>
        <v>1</v>
      </c>
      <c r="N281" s="336">
        <f t="shared" si="163"/>
        <v>1</v>
      </c>
      <c r="O281" s="741">
        <f t="shared" si="163"/>
        <v>4</v>
      </c>
      <c r="P281" s="155"/>
      <c r="Q281" s="806">
        <f t="shared" si="166"/>
        <v>144500</v>
      </c>
      <c r="R281" s="189">
        <f t="shared" si="167"/>
        <v>36131.089999999997</v>
      </c>
    </row>
    <row r="282" spans="1:18" ht="28.15" hidden="1" customHeight="1" outlineLevel="2" x14ac:dyDescent="0.2">
      <c r="A282" s="90" t="str">
        <f t="shared" si="168"/>
        <v>МАОУ СОШ № 10 структурное подразделение</v>
      </c>
      <c r="B282" s="166"/>
      <c r="C282" s="166"/>
      <c r="D282" s="155">
        <f t="shared" si="164"/>
        <v>35596.199999999997</v>
      </c>
      <c r="E282" s="166"/>
      <c r="F282" s="166"/>
      <c r="G282" s="166"/>
      <c r="H282" s="166"/>
      <c r="I282" s="166"/>
      <c r="J282" s="166"/>
      <c r="K282" s="166"/>
      <c r="L282" s="155">
        <f t="shared" si="165"/>
        <v>534.89</v>
      </c>
      <c r="M282" s="336">
        <f t="shared" si="163"/>
        <v>1</v>
      </c>
      <c r="N282" s="336">
        <f t="shared" si="163"/>
        <v>1</v>
      </c>
      <c r="O282" s="741">
        <f t="shared" si="163"/>
        <v>1</v>
      </c>
      <c r="P282" s="155"/>
      <c r="Q282" s="806">
        <f t="shared" si="166"/>
        <v>36100</v>
      </c>
      <c r="R282" s="189">
        <f t="shared" si="167"/>
        <v>36131.089999999997</v>
      </c>
    </row>
    <row r="283" spans="1:18" ht="26.45" hidden="1" customHeight="1" outlineLevel="2" x14ac:dyDescent="0.2">
      <c r="A283" s="90" t="str">
        <f t="shared" si="168"/>
        <v>МАОУ СОШ № 13 структурное подразделение</v>
      </c>
      <c r="B283" s="166"/>
      <c r="C283" s="166"/>
      <c r="D283" s="155">
        <f t="shared" si="164"/>
        <v>35596.199999999997</v>
      </c>
      <c r="E283" s="166"/>
      <c r="F283" s="166"/>
      <c r="G283" s="166"/>
      <c r="H283" s="166"/>
      <c r="I283" s="166"/>
      <c r="J283" s="166"/>
      <c r="K283" s="166"/>
      <c r="L283" s="155">
        <f t="shared" si="165"/>
        <v>534.89</v>
      </c>
      <c r="M283" s="336">
        <f t="shared" si="163"/>
        <v>1</v>
      </c>
      <c r="N283" s="336">
        <f t="shared" si="163"/>
        <v>1</v>
      </c>
      <c r="O283" s="741">
        <f t="shared" si="163"/>
        <v>3</v>
      </c>
      <c r="P283" s="155"/>
      <c r="Q283" s="806">
        <f t="shared" si="166"/>
        <v>108400</v>
      </c>
      <c r="R283" s="189">
        <f t="shared" si="167"/>
        <v>36131.089999999997</v>
      </c>
    </row>
    <row r="284" spans="1:18" ht="25.9" hidden="1" customHeight="1" outlineLevel="2" x14ac:dyDescent="0.2">
      <c r="A284" s="90" t="str">
        <f t="shared" si="168"/>
        <v>Гимназия № 16 структурное подразделение</v>
      </c>
      <c r="B284" s="166"/>
      <c r="C284" s="166"/>
      <c r="D284" s="155">
        <f t="shared" si="164"/>
        <v>35596.199999999997</v>
      </c>
      <c r="E284" s="166"/>
      <c r="F284" s="166"/>
      <c r="G284" s="166"/>
      <c r="H284" s="166"/>
      <c r="I284" s="166"/>
      <c r="J284" s="166"/>
      <c r="K284" s="166"/>
      <c r="L284" s="155">
        <f t="shared" si="165"/>
        <v>534.89</v>
      </c>
      <c r="M284" s="336">
        <f t="shared" si="163"/>
        <v>1</v>
      </c>
      <c r="N284" s="336">
        <f t="shared" si="163"/>
        <v>1</v>
      </c>
      <c r="O284" s="741">
        <f t="shared" si="163"/>
        <v>5</v>
      </c>
      <c r="P284" s="155"/>
      <c r="Q284" s="806">
        <f t="shared" si="166"/>
        <v>180700</v>
      </c>
      <c r="R284" s="189">
        <f t="shared" si="167"/>
        <v>36131.089999999997</v>
      </c>
    </row>
    <row r="285" spans="1:18" ht="40.9" hidden="1" customHeight="1" outlineLevel="2" x14ac:dyDescent="0.2">
      <c r="A285" s="90" t="str">
        <f t="shared" si="168"/>
        <v>МАОУ ООШ № 17 с кадетскими классами структурное подразделение</v>
      </c>
      <c r="B285" s="336"/>
      <c r="C285" s="336"/>
      <c r="D285" s="155">
        <f t="shared" si="164"/>
        <v>35596.199999999997</v>
      </c>
      <c r="E285" s="336"/>
      <c r="F285" s="336"/>
      <c r="G285" s="336"/>
      <c r="H285" s="336"/>
      <c r="I285" s="336"/>
      <c r="J285" s="336"/>
      <c r="K285" s="336"/>
      <c r="L285" s="155">
        <f t="shared" si="165"/>
        <v>534.89</v>
      </c>
      <c r="M285" s="336">
        <f t="shared" si="163"/>
        <v>1</v>
      </c>
      <c r="N285" s="336">
        <f t="shared" si="163"/>
        <v>1</v>
      </c>
      <c r="O285" s="741">
        <f t="shared" si="163"/>
        <v>1</v>
      </c>
      <c r="P285" s="155"/>
      <c r="Q285" s="806">
        <f t="shared" si="166"/>
        <v>36100</v>
      </c>
      <c r="R285" s="189">
        <f t="shared" si="167"/>
        <v>36131.089999999997</v>
      </c>
    </row>
    <row r="286" spans="1:18" ht="38.450000000000003" hidden="1" customHeight="1" outlineLevel="1" collapsed="1" x14ac:dyDescent="0.2">
      <c r="A286" s="173" t="str">
        <f t="shared" si="168"/>
        <v>Присмотр и уход Дети-инвалиды От 3 лет до 8 лет группа полного дня</v>
      </c>
      <c r="B286" s="174" t="str">
        <f>B126</f>
        <v>853211О.99.0.БВ19АА14000</v>
      </c>
      <c r="C286" s="175"/>
      <c r="D286" s="176">
        <f>'Общий 2022'!D19</f>
        <v>35596.199999999997</v>
      </c>
      <c r="E286" s="176"/>
      <c r="F286" s="176"/>
      <c r="G286" s="176"/>
      <c r="H286" s="176"/>
      <c r="I286" s="176"/>
      <c r="J286" s="176"/>
      <c r="K286" s="176"/>
      <c r="L286" s="176">
        <f>'Общий 2022'!L19</f>
        <v>534.89</v>
      </c>
      <c r="M286" s="175"/>
      <c r="N286" s="175"/>
      <c r="O286" s="765">
        <f>SUM(O287:O295)</f>
        <v>11</v>
      </c>
      <c r="P286" s="176">
        <f>SUM(P287:P295)</f>
        <v>0</v>
      </c>
      <c r="Q286" s="176">
        <f>SUM(Q287:Q295)</f>
        <v>397400</v>
      </c>
    </row>
    <row r="287" spans="1:18" ht="12.95" hidden="1" customHeight="1" outlineLevel="2" x14ac:dyDescent="0.2">
      <c r="A287" s="90" t="str">
        <f t="shared" si="168"/>
        <v>МАДОУ ЦРР-детский сад № 2</v>
      </c>
      <c r="B287" s="464"/>
      <c r="C287" s="464"/>
      <c r="D287" s="155">
        <f>$D$286</f>
        <v>35596.199999999997</v>
      </c>
      <c r="E287" s="464"/>
      <c r="F287" s="464"/>
      <c r="G287" s="464"/>
      <c r="H287" s="464"/>
      <c r="I287" s="464"/>
      <c r="J287" s="464"/>
      <c r="K287" s="464"/>
      <c r="L287" s="155">
        <f>$L$286</f>
        <v>534.89</v>
      </c>
      <c r="M287" s="464">
        <f t="shared" ref="M287:O295" si="169">M127</f>
        <v>1</v>
      </c>
      <c r="N287" s="464">
        <f t="shared" si="169"/>
        <v>1</v>
      </c>
      <c r="O287" s="766">
        <f t="shared" si="169"/>
        <v>2</v>
      </c>
      <c r="P287" s="155"/>
      <c r="Q287" s="155">
        <f>ROUND(ROUND((C287+D287+E287+F287+G287+H287+I287+J287+K287+L287)*M287*N287,2)*O287-P287,-2)</f>
        <v>72300</v>
      </c>
      <c r="R287" s="189">
        <f>(B287+C287+D287+E287+F287+G287+H287+I287+J287+K287+L287)*M287*N287</f>
        <v>36131.089999999997</v>
      </c>
    </row>
    <row r="288" spans="1:18" ht="12.95" hidden="1" customHeight="1" outlineLevel="2" x14ac:dyDescent="0.2">
      <c r="A288" s="90" t="str">
        <f t="shared" si="168"/>
        <v>МАДОУ ЦРР-детский сад № 11</v>
      </c>
      <c r="B288" s="464"/>
      <c r="C288" s="464"/>
      <c r="D288" s="155">
        <f t="shared" ref="D288:D295" si="170">$D$286</f>
        <v>35596.199999999997</v>
      </c>
      <c r="E288" s="464"/>
      <c r="F288" s="464"/>
      <c r="G288" s="464"/>
      <c r="H288" s="464"/>
      <c r="I288" s="464"/>
      <c r="J288" s="464"/>
      <c r="K288" s="464"/>
      <c r="L288" s="155">
        <f t="shared" ref="L288:L295" si="171">$L$286</f>
        <v>534.89</v>
      </c>
      <c r="M288" s="464">
        <f t="shared" si="169"/>
        <v>1</v>
      </c>
      <c r="N288" s="464">
        <f t="shared" si="169"/>
        <v>1</v>
      </c>
      <c r="O288" s="741">
        <f t="shared" si="169"/>
        <v>1</v>
      </c>
      <c r="P288" s="155"/>
      <c r="Q288" s="806">
        <f t="shared" ref="Q288:Q295" si="172">ROUND(ROUND((C288+D288+E288+F288+G288+H288+I288+J288+K288+L288)*M288*N288,2)*O288-P288,-2)</f>
        <v>36100</v>
      </c>
      <c r="R288" s="189">
        <f t="shared" ref="R288:R295" si="173">(B288+C288+D288+E288+F288+G288+H288+I288+J288+K288+L288)*M288*N288</f>
        <v>36131.089999999997</v>
      </c>
    </row>
    <row r="289" spans="1:19" ht="12.95" hidden="1" customHeight="1" outlineLevel="2" x14ac:dyDescent="0.2">
      <c r="A289" s="90" t="str">
        <f t="shared" si="168"/>
        <v>МАДОУ ЦРР-детский сад № 13</v>
      </c>
      <c r="B289" s="464"/>
      <c r="C289" s="464"/>
      <c r="D289" s="155">
        <f t="shared" si="170"/>
        <v>35596.199999999997</v>
      </c>
      <c r="E289" s="464"/>
      <c r="F289" s="464"/>
      <c r="G289" s="464"/>
      <c r="H289" s="464"/>
      <c r="I289" s="464"/>
      <c r="J289" s="464"/>
      <c r="K289" s="464"/>
      <c r="L289" s="155">
        <f t="shared" si="171"/>
        <v>534.89</v>
      </c>
      <c r="M289" s="464">
        <f t="shared" si="169"/>
        <v>1</v>
      </c>
      <c r="N289" s="464">
        <f t="shared" si="169"/>
        <v>1</v>
      </c>
      <c r="O289" s="741">
        <f t="shared" si="169"/>
        <v>4</v>
      </c>
      <c r="P289" s="155"/>
      <c r="Q289" s="806">
        <f t="shared" si="172"/>
        <v>144500</v>
      </c>
      <c r="R289" s="189">
        <f t="shared" si="173"/>
        <v>36131.089999999997</v>
      </c>
    </row>
    <row r="290" spans="1:19" ht="26.45" hidden="1" customHeight="1" outlineLevel="2" x14ac:dyDescent="0.2">
      <c r="A290" s="90" t="str">
        <f t="shared" si="168"/>
        <v>МАОУ СОШ № 1 структурное подразделение</v>
      </c>
      <c r="B290" s="464"/>
      <c r="C290" s="464"/>
      <c r="D290" s="155">
        <f t="shared" si="170"/>
        <v>35596.199999999997</v>
      </c>
      <c r="E290" s="464"/>
      <c r="F290" s="464"/>
      <c r="G290" s="464"/>
      <c r="H290" s="464"/>
      <c r="I290" s="464"/>
      <c r="J290" s="464"/>
      <c r="K290" s="464"/>
      <c r="L290" s="155">
        <f t="shared" si="171"/>
        <v>534.89</v>
      </c>
      <c r="M290" s="464">
        <f t="shared" si="169"/>
        <v>1</v>
      </c>
      <c r="N290" s="464">
        <f t="shared" si="169"/>
        <v>1</v>
      </c>
      <c r="O290" s="741">
        <f t="shared" si="169"/>
        <v>1</v>
      </c>
      <c r="P290" s="155"/>
      <c r="Q290" s="806">
        <f t="shared" si="172"/>
        <v>36100</v>
      </c>
      <c r="R290" s="189">
        <f t="shared" si="173"/>
        <v>36131.089999999997</v>
      </c>
    </row>
    <row r="291" spans="1:19" ht="42.6" hidden="1" customHeight="1" outlineLevel="2" x14ac:dyDescent="0.2">
      <c r="A291" s="90" t="str">
        <f t="shared" si="168"/>
        <v>МАОУ СОШ № 2 им.М.И.Грибушина структурное подразделение</v>
      </c>
      <c r="B291" s="464"/>
      <c r="C291" s="464"/>
      <c r="D291" s="155">
        <f t="shared" si="170"/>
        <v>35596.199999999997</v>
      </c>
      <c r="E291" s="464"/>
      <c r="F291" s="464"/>
      <c r="G291" s="464"/>
      <c r="H291" s="464"/>
      <c r="I291" s="464"/>
      <c r="J291" s="464"/>
      <c r="K291" s="464"/>
      <c r="L291" s="155">
        <f t="shared" si="171"/>
        <v>534.89</v>
      </c>
      <c r="M291" s="464">
        <f t="shared" si="169"/>
        <v>1</v>
      </c>
      <c r="N291" s="464">
        <f t="shared" si="169"/>
        <v>1</v>
      </c>
      <c r="O291" s="741">
        <f t="shared" si="169"/>
        <v>0</v>
      </c>
      <c r="P291" s="155"/>
      <c r="Q291" s="806">
        <f t="shared" si="172"/>
        <v>0</v>
      </c>
      <c r="R291" s="189">
        <f t="shared" si="173"/>
        <v>36131.089999999997</v>
      </c>
    </row>
    <row r="292" spans="1:19" ht="26.45" hidden="1" customHeight="1" outlineLevel="2" x14ac:dyDescent="0.2">
      <c r="A292" s="90" t="str">
        <f t="shared" si="168"/>
        <v>МАОУ СОШ № 10 структурное подразделение</v>
      </c>
      <c r="B292" s="464"/>
      <c r="C292" s="464"/>
      <c r="D292" s="155">
        <f t="shared" si="170"/>
        <v>35596.199999999997</v>
      </c>
      <c r="E292" s="464"/>
      <c r="F292" s="464"/>
      <c r="G292" s="464"/>
      <c r="H292" s="464"/>
      <c r="I292" s="464"/>
      <c r="J292" s="464"/>
      <c r="K292" s="464"/>
      <c r="L292" s="155">
        <f t="shared" si="171"/>
        <v>534.89</v>
      </c>
      <c r="M292" s="464">
        <f t="shared" si="169"/>
        <v>1</v>
      </c>
      <c r="N292" s="464">
        <f t="shared" si="169"/>
        <v>1</v>
      </c>
      <c r="O292" s="741">
        <f t="shared" si="169"/>
        <v>0</v>
      </c>
      <c r="P292" s="155"/>
      <c r="Q292" s="806">
        <f t="shared" si="172"/>
        <v>0</v>
      </c>
      <c r="R292" s="189">
        <f t="shared" si="173"/>
        <v>36131.089999999997</v>
      </c>
    </row>
    <row r="293" spans="1:19" ht="27.6" hidden="1" customHeight="1" outlineLevel="2" x14ac:dyDescent="0.2">
      <c r="A293" s="90" t="str">
        <f t="shared" si="168"/>
        <v>МАОУ СОШ № 13 структурное подразделение</v>
      </c>
      <c r="B293" s="464"/>
      <c r="C293" s="464"/>
      <c r="D293" s="155">
        <f t="shared" si="170"/>
        <v>35596.199999999997</v>
      </c>
      <c r="E293" s="464"/>
      <c r="F293" s="464"/>
      <c r="G293" s="464"/>
      <c r="H293" s="464"/>
      <c r="I293" s="464"/>
      <c r="J293" s="464"/>
      <c r="K293" s="464"/>
      <c r="L293" s="155">
        <f t="shared" si="171"/>
        <v>534.89</v>
      </c>
      <c r="M293" s="464">
        <f t="shared" si="169"/>
        <v>1</v>
      </c>
      <c r="N293" s="464">
        <f t="shared" si="169"/>
        <v>1</v>
      </c>
      <c r="O293" s="741">
        <f t="shared" si="169"/>
        <v>0</v>
      </c>
      <c r="P293" s="155"/>
      <c r="Q293" s="806">
        <f t="shared" si="172"/>
        <v>0</v>
      </c>
      <c r="R293" s="189">
        <f t="shared" si="173"/>
        <v>36131.089999999997</v>
      </c>
    </row>
    <row r="294" spans="1:19" ht="29.45" hidden="1" customHeight="1" outlineLevel="2" x14ac:dyDescent="0.2">
      <c r="A294" s="90" t="str">
        <f t="shared" si="168"/>
        <v>Гимназия № 16 структурное подразделение</v>
      </c>
      <c r="B294" s="464"/>
      <c r="C294" s="464"/>
      <c r="D294" s="155">
        <f t="shared" si="170"/>
        <v>35596.199999999997</v>
      </c>
      <c r="E294" s="464"/>
      <c r="F294" s="464"/>
      <c r="G294" s="464"/>
      <c r="H294" s="464"/>
      <c r="I294" s="464"/>
      <c r="J294" s="464"/>
      <c r="K294" s="464"/>
      <c r="L294" s="155">
        <f t="shared" si="171"/>
        <v>534.89</v>
      </c>
      <c r="M294" s="464">
        <f t="shared" si="169"/>
        <v>1</v>
      </c>
      <c r="N294" s="464">
        <f t="shared" si="169"/>
        <v>1</v>
      </c>
      <c r="O294" s="741">
        <f t="shared" si="169"/>
        <v>2</v>
      </c>
      <c r="P294" s="155"/>
      <c r="Q294" s="806">
        <f t="shared" si="172"/>
        <v>72300</v>
      </c>
      <c r="R294" s="189">
        <f t="shared" si="173"/>
        <v>36131.089999999997</v>
      </c>
    </row>
    <row r="295" spans="1:19" ht="40.9" hidden="1" customHeight="1" outlineLevel="2" x14ac:dyDescent="0.2">
      <c r="A295" s="90" t="str">
        <f t="shared" si="168"/>
        <v>МАОУ ООШ № 17 с кадетскими классами структурное подразделение</v>
      </c>
      <c r="B295" s="464"/>
      <c r="C295" s="464"/>
      <c r="D295" s="155">
        <f t="shared" si="170"/>
        <v>35596.199999999997</v>
      </c>
      <c r="E295" s="464"/>
      <c r="F295" s="464"/>
      <c r="G295" s="464"/>
      <c r="H295" s="464"/>
      <c r="I295" s="464"/>
      <c r="J295" s="464"/>
      <c r="K295" s="464"/>
      <c r="L295" s="155">
        <f t="shared" si="171"/>
        <v>534.89</v>
      </c>
      <c r="M295" s="464">
        <f t="shared" si="169"/>
        <v>1</v>
      </c>
      <c r="N295" s="464">
        <f t="shared" si="169"/>
        <v>1</v>
      </c>
      <c r="O295" s="741">
        <f t="shared" si="169"/>
        <v>1</v>
      </c>
      <c r="P295" s="155"/>
      <c r="Q295" s="806">
        <f t="shared" si="172"/>
        <v>36100</v>
      </c>
      <c r="R295" s="189">
        <f t="shared" si="173"/>
        <v>36131.089999999997</v>
      </c>
    </row>
    <row r="296" spans="1:19" ht="42.75" hidden="1" customHeight="1" outlineLevel="1" collapsed="1" x14ac:dyDescent="0.2">
      <c r="A296" s="173" t="str">
        <f t="shared" si="168"/>
        <v>Присмотр и уход Дети с туберкулезной интоксикацией От 3 лет до 8 лет группа полного дня</v>
      </c>
      <c r="B296" s="174" t="str">
        <f>B136</f>
        <v>853211О.99.0.БВ19АБ40000</v>
      </c>
      <c r="C296" s="175"/>
      <c r="D296" s="176">
        <f>'Общий 2022'!D17</f>
        <v>35596.199999999997</v>
      </c>
      <c r="E296" s="176"/>
      <c r="F296" s="176"/>
      <c r="G296" s="176"/>
      <c r="H296" s="176"/>
      <c r="I296" s="176"/>
      <c r="J296" s="176"/>
      <c r="K296" s="176"/>
      <c r="L296" s="176">
        <f>'Общий 2022'!L17</f>
        <v>534.89</v>
      </c>
      <c r="M296" s="175"/>
      <c r="N296" s="175"/>
      <c r="O296" s="768" t="e">
        <f>SUM(O297:O305)</f>
        <v>#REF!</v>
      </c>
      <c r="P296" s="176">
        <f>SUM(P297:P305)</f>
        <v>0</v>
      </c>
      <c r="Q296" s="176" t="e">
        <f>SUM(Q297:Q305)</f>
        <v>#REF!</v>
      </c>
      <c r="S296" s="772" t="e">
        <f>O296+O286+O246+O276+O266+O256+O236+O226+O216+O206+O196+O186+O176+O166</f>
        <v>#REF!</v>
      </c>
    </row>
    <row r="297" spans="1:19" ht="12.95" hidden="1" customHeight="1" outlineLevel="2" x14ac:dyDescent="0.2">
      <c r="A297" s="90" t="str">
        <f t="shared" si="168"/>
        <v>МАДОУ ЦРР-детский сад № 2</v>
      </c>
      <c r="B297" s="336"/>
      <c r="C297" s="336"/>
      <c r="D297" s="155">
        <f>$D$296</f>
        <v>35596.199999999997</v>
      </c>
      <c r="E297" s="336"/>
      <c r="F297" s="336"/>
      <c r="G297" s="336"/>
      <c r="H297" s="336"/>
      <c r="I297" s="336"/>
      <c r="J297" s="336"/>
      <c r="K297" s="336"/>
      <c r="L297" s="155">
        <f>$L$296</f>
        <v>534.89</v>
      </c>
      <c r="M297" s="336">
        <f t="shared" ref="M297:O305" si="174">M137</f>
        <v>1</v>
      </c>
      <c r="N297" s="336">
        <f t="shared" si="174"/>
        <v>1</v>
      </c>
      <c r="O297" s="766" t="e">
        <f t="shared" si="174"/>
        <v>#REF!</v>
      </c>
      <c r="P297" s="155"/>
      <c r="Q297" s="155" t="e">
        <f>ROUND(ROUND((C297+D297+E297+F297+G297+H297+I297+J297+K297+L297)*M297*N297,2)*O297-P297,-2)</f>
        <v>#REF!</v>
      </c>
      <c r="R297" s="189">
        <f>(B297+C297+D297+E297+F297+G297+H297+I297+J297+K297+L297)*M297*N297</f>
        <v>36131.089999999997</v>
      </c>
    </row>
    <row r="298" spans="1:19" ht="12.95" hidden="1" customHeight="1" outlineLevel="2" x14ac:dyDescent="0.2">
      <c r="A298" s="90" t="str">
        <f t="shared" si="168"/>
        <v>МАДОУ ЦРР-детский сад № 11</v>
      </c>
      <c r="B298" s="336"/>
      <c r="C298" s="336"/>
      <c r="D298" s="155">
        <f t="shared" ref="D298:D305" si="175">$D$296</f>
        <v>35596.199999999997</v>
      </c>
      <c r="E298" s="336"/>
      <c r="F298" s="336"/>
      <c r="G298" s="336"/>
      <c r="H298" s="336"/>
      <c r="I298" s="336"/>
      <c r="J298" s="336"/>
      <c r="K298" s="336"/>
      <c r="L298" s="155">
        <f t="shared" ref="L298:L305" si="176">$L$296</f>
        <v>534.89</v>
      </c>
      <c r="M298" s="336">
        <f t="shared" si="174"/>
        <v>1</v>
      </c>
      <c r="N298" s="336">
        <f t="shared" si="174"/>
        <v>1</v>
      </c>
      <c r="O298" s="741" t="e">
        <f t="shared" si="174"/>
        <v>#REF!</v>
      </c>
      <c r="P298" s="155"/>
      <c r="Q298" s="806" t="e">
        <f t="shared" ref="Q298:Q305" si="177">ROUND(ROUND((C298+D298+E298+F298+G298+H298+I298+J298+K298+L298)*M298*N298,2)*O298-P298,-2)</f>
        <v>#REF!</v>
      </c>
      <c r="R298" s="189">
        <f t="shared" ref="R298:R305" si="178">(B298+C298+D298+E298+F298+G298+H298+I298+J298+K298+L298)*M298*N298</f>
        <v>36131.089999999997</v>
      </c>
    </row>
    <row r="299" spans="1:19" ht="12.95" hidden="1" customHeight="1" outlineLevel="2" x14ac:dyDescent="0.2">
      <c r="A299" s="90" t="str">
        <f t="shared" si="168"/>
        <v>МАДОУ ЦРР-детский сад № 13</v>
      </c>
      <c r="B299" s="336"/>
      <c r="C299" s="336"/>
      <c r="D299" s="155">
        <f t="shared" si="175"/>
        <v>35596.199999999997</v>
      </c>
      <c r="E299" s="336"/>
      <c r="F299" s="336"/>
      <c r="G299" s="336"/>
      <c r="H299" s="336"/>
      <c r="I299" s="336"/>
      <c r="J299" s="336"/>
      <c r="K299" s="336"/>
      <c r="L299" s="155">
        <f t="shared" si="176"/>
        <v>534.89</v>
      </c>
      <c r="M299" s="336">
        <f t="shared" si="174"/>
        <v>1</v>
      </c>
      <c r="N299" s="336">
        <f t="shared" si="174"/>
        <v>1</v>
      </c>
      <c r="O299" s="741" t="e">
        <f t="shared" si="174"/>
        <v>#REF!</v>
      </c>
      <c r="P299" s="155"/>
      <c r="Q299" s="806" t="e">
        <f t="shared" si="177"/>
        <v>#REF!</v>
      </c>
      <c r="R299" s="189">
        <f t="shared" si="178"/>
        <v>36131.089999999997</v>
      </c>
    </row>
    <row r="300" spans="1:19" ht="33.6" hidden="1" customHeight="1" outlineLevel="2" x14ac:dyDescent="0.2">
      <c r="A300" s="90" t="str">
        <f t="shared" si="168"/>
        <v>МАОУ СОШ № 1 структурное подразделение</v>
      </c>
      <c r="B300" s="336"/>
      <c r="C300" s="336"/>
      <c r="D300" s="155">
        <f t="shared" si="175"/>
        <v>35596.199999999997</v>
      </c>
      <c r="E300" s="336"/>
      <c r="F300" s="336"/>
      <c r="G300" s="336"/>
      <c r="H300" s="336"/>
      <c r="I300" s="336"/>
      <c r="J300" s="336"/>
      <c r="K300" s="336"/>
      <c r="L300" s="155">
        <f t="shared" si="176"/>
        <v>534.89</v>
      </c>
      <c r="M300" s="336">
        <f t="shared" si="174"/>
        <v>1</v>
      </c>
      <c r="N300" s="336">
        <f t="shared" si="174"/>
        <v>1</v>
      </c>
      <c r="O300" s="741" t="e">
        <f t="shared" si="174"/>
        <v>#REF!</v>
      </c>
      <c r="P300" s="155"/>
      <c r="Q300" s="806" t="e">
        <f t="shared" si="177"/>
        <v>#REF!</v>
      </c>
      <c r="R300" s="189">
        <f t="shared" si="178"/>
        <v>36131.089999999997</v>
      </c>
    </row>
    <row r="301" spans="1:19" ht="46.15" hidden="1" customHeight="1" outlineLevel="2" x14ac:dyDescent="0.2">
      <c r="A301" s="90" t="str">
        <f t="shared" si="168"/>
        <v>МАОУ СОШ № 2 им.М.И.Грибушина структурное подразделение</v>
      </c>
      <c r="B301" s="336"/>
      <c r="C301" s="336"/>
      <c r="D301" s="155">
        <f t="shared" si="175"/>
        <v>35596.199999999997</v>
      </c>
      <c r="E301" s="336"/>
      <c r="F301" s="336"/>
      <c r="G301" s="336"/>
      <c r="H301" s="336"/>
      <c r="I301" s="336"/>
      <c r="J301" s="336"/>
      <c r="K301" s="336"/>
      <c r="L301" s="155">
        <f t="shared" si="176"/>
        <v>534.89</v>
      </c>
      <c r="M301" s="336">
        <f t="shared" si="174"/>
        <v>1</v>
      </c>
      <c r="N301" s="336">
        <f t="shared" si="174"/>
        <v>1</v>
      </c>
      <c r="O301" s="741" t="e">
        <f t="shared" si="174"/>
        <v>#REF!</v>
      </c>
      <c r="P301" s="155"/>
      <c r="Q301" s="806" t="e">
        <f t="shared" si="177"/>
        <v>#REF!</v>
      </c>
      <c r="R301" s="189">
        <f t="shared" si="178"/>
        <v>36131.089999999997</v>
      </c>
    </row>
    <row r="302" spans="1:19" ht="30" hidden="1" customHeight="1" outlineLevel="2" x14ac:dyDescent="0.2">
      <c r="A302" s="90" t="str">
        <f t="shared" si="168"/>
        <v>МАОУ СОШ № 10 структурное подразделение</v>
      </c>
      <c r="B302" s="336"/>
      <c r="C302" s="336"/>
      <c r="D302" s="155">
        <f t="shared" si="175"/>
        <v>35596.199999999997</v>
      </c>
      <c r="E302" s="336"/>
      <c r="F302" s="336"/>
      <c r="G302" s="336"/>
      <c r="H302" s="336"/>
      <c r="I302" s="336"/>
      <c r="J302" s="336"/>
      <c r="K302" s="336"/>
      <c r="L302" s="155">
        <f t="shared" si="176"/>
        <v>534.89</v>
      </c>
      <c r="M302" s="336">
        <f t="shared" si="174"/>
        <v>1</v>
      </c>
      <c r="N302" s="336">
        <f t="shared" si="174"/>
        <v>1</v>
      </c>
      <c r="O302" s="741" t="e">
        <f t="shared" si="174"/>
        <v>#REF!</v>
      </c>
      <c r="P302" s="155"/>
      <c r="Q302" s="806" t="e">
        <f t="shared" si="177"/>
        <v>#REF!</v>
      </c>
      <c r="R302" s="189">
        <f t="shared" si="178"/>
        <v>36131.089999999997</v>
      </c>
    </row>
    <row r="303" spans="1:19" ht="27.6" hidden="1" customHeight="1" outlineLevel="2" x14ac:dyDescent="0.2">
      <c r="A303" s="90" t="str">
        <f t="shared" si="168"/>
        <v>МАОУ СОШ № 13 структурное подразделение</v>
      </c>
      <c r="B303" s="336"/>
      <c r="C303" s="336"/>
      <c r="D303" s="155">
        <f t="shared" si="175"/>
        <v>35596.199999999997</v>
      </c>
      <c r="E303" s="336"/>
      <c r="F303" s="336"/>
      <c r="G303" s="336"/>
      <c r="H303" s="336"/>
      <c r="I303" s="336"/>
      <c r="J303" s="336"/>
      <c r="K303" s="336"/>
      <c r="L303" s="155">
        <f t="shared" si="176"/>
        <v>534.89</v>
      </c>
      <c r="M303" s="336">
        <f t="shared" si="174"/>
        <v>1</v>
      </c>
      <c r="N303" s="336">
        <f t="shared" si="174"/>
        <v>1</v>
      </c>
      <c r="O303" s="741" t="e">
        <f t="shared" si="174"/>
        <v>#REF!</v>
      </c>
      <c r="P303" s="155"/>
      <c r="Q303" s="806" t="e">
        <f t="shared" si="177"/>
        <v>#REF!</v>
      </c>
      <c r="R303" s="189">
        <f t="shared" si="178"/>
        <v>36131.089999999997</v>
      </c>
    </row>
    <row r="304" spans="1:19" ht="30" hidden="1" customHeight="1" outlineLevel="2" x14ac:dyDescent="0.2">
      <c r="A304" s="90" t="str">
        <f t="shared" si="168"/>
        <v>Гимназия № 16 структурное подразделение</v>
      </c>
      <c r="B304" s="336"/>
      <c r="C304" s="336"/>
      <c r="D304" s="155">
        <f t="shared" si="175"/>
        <v>35596.199999999997</v>
      </c>
      <c r="E304" s="336"/>
      <c r="F304" s="336"/>
      <c r="G304" s="336"/>
      <c r="H304" s="336"/>
      <c r="I304" s="336"/>
      <c r="J304" s="336"/>
      <c r="K304" s="336"/>
      <c r="L304" s="155">
        <f t="shared" si="176"/>
        <v>534.89</v>
      </c>
      <c r="M304" s="336">
        <f t="shared" si="174"/>
        <v>1</v>
      </c>
      <c r="N304" s="336">
        <f t="shared" si="174"/>
        <v>1</v>
      </c>
      <c r="O304" s="741" t="e">
        <f t="shared" si="174"/>
        <v>#REF!</v>
      </c>
      <c r="P304" s="155"/>
      <c r="Q304" s="806" t="e">
        <f t="shared" si="177"/>
        <v>#REF!</v>
      </c>
      <c r="R304" s="189">
        <f t="shared" si="178"/>
        <v>36131.089999999997</v>
      </c>
    </row>
    <row r="305" spans="1:19" ht="43.15" hidden="1" customHeight="1" outlineLevel="2" x14ac:dyDescent="0.2">
      <c r="A305" s="90" t="str">
        <f t="shared" si="168"/>
        <v>МАОУ ООШ № 17 с кадетскими классами структурное подразделение</v>
      </c>
      <c r="B305" s="336"/>
      <c r="C305" s="336"/>
      <c r="D305" s="155">
        <f t="shared" si="175"/>
        <v>35596.199999999997</v>
      </c>
      <c r="E305" s="336"/>
      <c r="F305" s="336"/>
      <c r="G305" s="336"/>
      <c r="H305" s="336"/>
      <c r="I305" s="336"/>
      <c r="J305" s="336"/>
      <c r="K305" s="336"/>
      <c r="L305" s="155">
        <f t="shared" si="176"/>
        <v>534.89</v>
      </c>
      <c r="M305" s="336">
        <f t="shared" si="174"/>
        <v>1</v>
      </c>
      <c r="N305" s="336">
        <f t="shared" si="174"/>
        <v>1</v>
      </c>
      <c r="O305" s="741" t="e">
        <f t="shared" si="174"/>
        <v>#REF!</v>
      </c>
      <c r="P305" s="155"/>
      <c r="Q305" s="806" t="e">
        <f t="shared" si="177"/>
        <v>#REF!</v>
      </c>
      <c r="R305" s="189">
        <f t="shared" si="178"/>
        <v>36131.089999999997</v>
      </c>
    </row>
    <row r="306" spans="1:19" hidden="1" outlineLevel="1" collapsed="1" x14ac:dyDescent="0.2">
      <c r="A306" s="177" t="s">
        <v>181</v>
      </c>
      <c r="B306" s="175"/>
      <c r="C306" s="175"/>
      <c r="D306" s="175"/>
      <c r="E306" s="175"/>
      <c r="F306" s="175"/>
      <c r="G306" s="175"/>
      <c r="H306" s="175"/>
      <c r="I306" s="175"/>
      <c r="J306" s="175"/>
      <c r="K306" s="175"/>
      <c r="L306" s="175"/>
      <c r="M306" s="175"/>
      <c r="N306" s="175"/>
      <c r="O306" s="768"/>
      <c r="P306" s="175"/>
      <c r="Q306" s="176">
        <f>SUM(Q307:Q315)</f>
        <v>4921800</v>
      </c>
      <c r="R306" s="186">
        <f>Q306-'Налоги 2022'!F15</f>
        <v>0</v>
      </c>
    </row>
    <row r="307" spans="1:19" ht="12.95" hidden="1" customHeight="1" outlineLevel="1" x14ac:dyDescent="0.2">
      <c r="A307" s="90" t="str">
        <f t="shared" ref="A307:A315" si="179">A147</f>
        <v>МАДОУ ЦРР-детский сад № 2</v>
      </c>
      <c r="B307" s="166"/>
      <c r="C307" s="166"/>
      <c r="D307" s="155"/>
      <c r="E307" s="166"/>
      <c r="F307" s="166"/>
      <c r="G307" s="166"/>
      <c r="H307" s="166"/>
      <c r="I307" s="166"/>
      <c r="J307" s="166"/>
      <c r="K307" s="166"/>
      <c r="L307" s="155"/>
      <c r="M307" s="166"/>
      <c r="N307" s="166"/>
      <c r="O307" s="741"/>
      <c r="P307" s="155"/>
      <c r="Q307" s="155">
        <f>ROUND('Налоги 2022'!F6,0)</f>
        <v>461800</v>
      </c>
    </row>
    <row r="308" spans="1:19" hidden="1" outlineLevel="1" x14ac:dyDescent="0.2">
      <c r="A308" s="90" t="str">
        <f t="shared" si="179"/>
        <v>МАДОУ ЦРР-детский сад № 11</v>
      </c>
      <c r="B308" s="166"/>
      <c r="C308" s="166"/>
      <c r="D308" s="155"/>
      <c r="E308" s="166"/>
      <c r="F308" s="166"/>
      <c r="G308" s="166"/>
      <c r="H308" s="166"/>
      <c r="I308" s="166"/>
      <c r="J308" s="166"/>
      <c r="K308" s="166"/>
      <c r="L308" s="155"/>
      <c r="M308" s="166"/>
      <c r="N308" s="166"/>
      <c r="O308" s="741"/>
      <c r="P308" s="155"/>
      <c r="Q308" s="155">
        <f>ROUND('Налоги 2022'!F7,0)</f>
        <v>2734100</v>
      </c>
    </row>
    <row r="309" spans="1:19" hidden="1" outlineLevel="1" x14ac:dyDescent="0.2">
      <c r="A309" s="90" t="str">
        <f t="shared" si="179"/>
        <v>МАДОУ ЦРР-детский сад № 13</v>
      </c>
      <c r="B309" s="166"/>
      <c r="C309" s="166"/>
      <c r="D309" s="155"/>
      <c r="E309" s="166"/>
      <c r="F309" s="166"/>
      <c r="G309" s="166"/>
      <c r="H309" s="166"/>
      <c r="I309" s="166"/>
      <c r="J309" s="166"/>
      <c r="K309" s="166"/>
      <c r="L309" s="155"/>
      <c r="M309" s="166"/>
      <c r="N309" s="166"/>
      <c r="O309" s="741"/>
      <c r="P309" s="155"/>
      <c r="Q309" s="155">
        <f>ROUND('Налоги 2022'!F8,0)</f>
        <v>349000</v>
      </c>
    </row>
    <row r="310" spans="1:19" ht="30" hidden="1" customHeight="1" outlineLevel="1" x14ac:dyDescent="0.2">
      <c r="A310" s="90" t="str">
        <f t="shared" si="179"/>
        <v>МАОУ СОШ № 1 структурное подразделение</v>
      </c>
      <c r="B310" s="166"/>
      <c r="C310" s="166"/>
      <c r="D310" s="155"/>
      <c r="E310" s="166"/>
      <c r="F310" s="166"/>
      <c r="G310" s="166"/>
      <c r="H310" s="166"/>
      <c r="I310" s="166"/>
      <c r="J310" s="166"/>
      <c r="K310" s="166"/>
      <c r="L310" s="155"/>
      <c r="M310" s="166"/>
      <c r="N310" s="166"/>
      <c r="O310" s="741"/>
      <c r="P310" s="155"/>
      <c r="Q310" s="155">
        <f>ROUND('Налоги 2022'!F9,0)</f>
        <v>324300</v>
      </c>
    </row>
    <row r="311" spans="1:19" ht="38.25" hidden="1" outlineLevel="1" x14ac:dyDescent="0.2">
      <c r="A311" s="90" t="str">
        <f t="shared" si="179"/>
        <v>МАОУ СОШ № 2 им.М.И.Грибушина структурное подразделение</v>
      </c>
      <c r="B311" s="166"/>
      <c r="C311" s="166"/>
      <c r="D311" s="155"/>
      <c r="E311" s="166"/>
      <c r="F311" s="166"/>
      <c r="G311" s="166"/>
      <c r="H311" s="166"/>
      <c r="I311" s="166"/>
      <c r="J311" s="166"/>
      <c r="K311" s="166"/>
      <c r="L311" s="155"/>
      <c r="M311" s="166"/>
      <c r="N311" s="166"/>
      <c r="O311" s="741"/>
      <c r="P311" s="155"/>
      <c r="Q311" s="155">
        <f>ROUND('Налоги 2022'!F10,0)</f>
        <v>210900</v>
      </c>
    </row>
    <row r="312" spans="1:19" ht="25.5" hidden="1" outlineLevel="1" x14ac:dyDescent="0.2">
      <c r="A312" s="90" t="str">
        <f t="shared" si="179"/>
        <v>МАОУ СОШ № 10 структурное подразделение</v>
      </c>
      <c r="B312" s="166"/>
      <c r="C312" s="166"/>
      <c r="D312" s="155"/>
      <c r="E312" s="166"/>
      <c r="F312" s="166"/>
      <c r="G312" s="166"/>
      <c r="H312" s="166"/>
      <c r="I312" s="166"/>
      <c r="J312" s="166"/>
      <c r="K312" s="166"/>
      <c r="L312" s="155"/>
      <c r="M312" s="166"/>
      <c r="N312" s="166"/>
      <c r="O312" s="741"/>
      <c r="P312" s="155"/>
      <c r="Q312" s="155">
        <f>ROUND('Налоги 2022'!F11,0)</f>
        <v>140700</v>
      </c>
    </row>
    <row r="313" spans="1:19" ht="14.45" hidden="1" customHeight="1" outlineLevel="1" x14ac:dyDescent="0.2">
      <c r="A313" s="90" t="str">
        <f t="shared" si="179"/>
        <v>МАОУ СОШ № 13 структурное подразделение</v>
      </c>
      <c r="B313" s="166"/>
      <c r="C313" s="166"/>
      <c r="D313" s="155"/>
      <c r="E313" s="166"/>
      <c r="F313" s="166"/>
      <c r="G313" s="166"/>
      <c r="H313" s="166"/>
      <c r="I313" s="166"/>
      <c r="J313" s="166"/>
      <c r="K313" s="166"/>
      <c r="L313" s="155"/>
      <c r="M313" s="166"/>
      <c r="N313" s="166"/>
      <c r="O313" s="769"/>
      <c r="P313" s="155"/>
      <c r="Q313" s="155">
        <f>ROUND('Налоги 2022'!F12,0)</f>
        <v>376900</v>
      </c>
    </row>
    <row r="314" spans="1:19" ht="25.5" hidden="1" outlineLevel="1" x14ac:dyDescent="0.2">
      <c r="A314" s="90" t="str">
        <f t="shared" si="179"/>
        <v>Гимназия № 16 структурное подразделение</v>
      </c>
      <c r="B314" s="166"/>
      <c r="C314" s="166"/>
      <c r="D314" s="155"/>
      <c r="E314" s="166"/>
      <c r="F314" s="166"/>
      <c r="G314" s="166"/>
      <c r="H314" s="166"/>
      <c r="I314" s="166"/>
      <c r="J314" s="166"/>
      <c r="K314" s="166"/>
      <c r="L314" s="155"/>
      <c r="M314" s="166"/>
      <c r="N314" s="166"/>
      <c r="O314" s="741"/>
      <c r="P314" s="155"/>
      <c r="Q314" s="155">
        <f>ROUND('Налоги 2022'!F13,0)</f>
        <v>286100</v>
      </c>
    </row>
    <row r="315" spans="1:19" ht="43.15" hidden="1" customHeight="1" outlineLevel="1" x14ac:dyDescent="0.2">
      <c r="A315" s="90" t="str">
        <f t="shared" si="179"/>
        <v>МАОУ ООШ № 17 с кадетскими классами структурное подразделение</v>
      </c>
      <c r="B315" s="166"/>
      <c r="C315" s="166"/>
      <c r="D315" s="155"/>
      <c r="E315" s="166"/>
      <c r="F315" s="166"/>
      <c r="G315" s="166"/>
      <c r="H315" s="166"/>
      <c r="I315" s="166"/>
      <c r="J315" s="166"/>
      <c r="K315" s="166"/>
      <c r="L315" s="155"/>
      <c r="M315" s="166"/>
      <c r="N315" s="166"/>
      <c r="O315" s="741"/>
      <c r="P315" s="155"/>
      <c r="Q315" s="155">
        <f>ROUND('Налоги 2022'!F14,0)</f>
        <v>38000</v>
      </c>
    </row>
    <row r="316" spans="1:19" ht="25.5" collapsed="1" x14ac:dyDescent="0.2">
      <c r="A316" s="183" t="s">
        <v>248</v>
      </c>
      <c r="B316" s="169"/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770"/>
      <c r="P316" s="184">
        <f>SUM(P317:P325)</f>
        <v>72218300</v>
      </c>
      <c r="Q316" s="184" t="e">
        <f>SUM(Q317:Q325)</f>
        <v>#REF!</v>
      </c>
      <c r="R316" s="807" t="e">
        <f>Q166+Q176+Q186+Q196+Q206+Q216+Q226+Q236+Q256+Q266+Q276+Q246+Q286+Q296+Q306</f>
        <v>#REF!</v>
      </c>
      <c r="S316" s="807" t="e">
        <f>Q316-R316</f>
        <v>#REF!</v>
      </c>
    </row>
    <row r="317" spans="1:19" ht="12.95" customHeight="1" x14ac:dyDescent="0.2">
      <c r="A317" s="90" t="str">
        <f t="shared" ref="A317:A348" si="180">A157</f>
        <v>МАДОУ ЦРР-детский сад № 2</v>
      </c>
      <c r="B317" s="166"/>
      <c r="C317" s="166"/>
      <c r="D317" s="155"/>
      <c r="E317" s="166"/>
      <c r="F317" s="166"/>
      <c r="G317" s="166"/>
      <c r="H317" s="166"/>
      <c r="I317" s="166"/>
      <c r="J317" s="166"/>
      <c r="K317" s="166"/>
      <c r="L317" s="155"/>
      <c r="M317" s="166"/>
      <c r="N317" s="166"/>
      <c r="O317" s="155"/>
      <c r="P317" s="155">
        <f t="shared" ref="P317:P325" si="181">ROUND(P167+P177++P187+P197+P207+P217+P227+P237+P257+P267+P277+P287+P297+P307,-2)</f>
        <v>10613400</v>
      </c>
      <c r="Q317" s="155" t="e">
        <f>ROUND(Q167+Q177++Q187+Q197+Q207+Q217+Q227+Q237+Q257+Q267+Q277+Q287+Q297+Q307+Q247,0)</f>
        <v>#REF!</v>
      </c>
      <c r="R317" s="170">
        <v>49821800</v>
      </c>
      <c r="S317" s="186" t="e">
        <f>Q316-R317</f>
        <v>#REF!</v>
      </c>
    </row>
    <row r="318" spans="1:19" ht="12.95" customHeight="1" x14ac:dyDescent="0.2">
      <c r="A318" s="90" t="str">
        <f t="shared" si="180"/>
        <v>МАДОУ ЦРР-детский сад № 11</v>
      </c>
      <c r="B318" s="166"/>
      <c r="C318" s="166"/>
      <c r="D318" s="155"/>
      <c r="E318" s="166"/>
      <c r="F318" s="166"/>
      <c r="G318" s="166"/>
      <c r="H318" s="166"/>
      <c r="I318" s="166"/>
      <c r="J318" s="166"/>
      <c r="K318" s="166"/>
      <c r="L318" s="155"/>
      <c r="M318" s="166"/>
      <c r="N318" s="166"/>
      <c r="O318" s="741"/>
      <c r="P318" s="155">
        <f t="shared" si="181"/>
        <v>11319600</v>
      </c>
      <c r="Q318" s="806" t="e">
        <f t="shared" ref="Q318:Q325" si="182">ROUND(Q168+Q178++Q188+Q198+Q208+Q218+Q228+Q238+Q258+Q268+Q278+Q288+Q298+Q308+Q248,0)</f>
        <v>#REF!</v>
      </c>
    </row>
    <row r="319" spans="1:19" ht="12.95" customHeight="1" x14ac:dyDescent="0.2">
      <c r="A319" s="90" t="str">
        <f t="shared" si="180"/>
        <v>МАДОУ ЦРР-детский сад № 13</v>
      </c>
      <c r="B319" s="166"/>
      <c r="C319" s="166"/>
      <c r="D319" s="155"/>
      <c r="E319" s="166"/>
      <c r="F319" s="166"/>
      <c r="G319" s="166"/>
      <c r="H319" s="166"/>
      <c r="I319" s="166"/>
      <c r="J319" s="166"/>
      <c r="K319" s="166"/>
      <c r="L319" s="155"/>
      <c r="M319" s="166"/>
      <c r="N319" s="166"/>
      <c r="O319" s="741"/>
      <c r="P319" s="155">
        <f t="shared" si="181"/>
        <v>14889000</v>
      </c>
      <c r="Q319" s="806" t="e">
        <f t="shared" si="182"/>
        <v>#REF!</v>
      </c>
    </row>
    <row r="320" spans="1:19" ht="30.6" customHeight="1" x14ac:dyDescent="0.2">
      <c r="A320" s="90" t="str">
        <f t="shared" si="180"/>
        <v>МАОУ СОШ № 1 структурное подразделение</v>
      </c>
      <c r="B320" s="166"/>
      <c r="C320" s="166"/>
      <c r="D320" s="155"/>
      <c r="E320" s="166"/>
      <c r="F320" s="166"/>
      <c r="G320" s="166"/>
      <c r="H320" s="166"/>
      <c r="I320" s="166"/>
      <c r="J320" s="166"/>
      <c r="K320" s="166"/>
      <c r="L320" s="155"/>
      <c r="M320" s="166"/>
      <c r="N320" s="166"/>
      <c r="O320" s="741"/>
      <c r="P320" s="155">
        <f t="shared" si="181"/>
        <v>8621400</v>
      </c>
      <c r="Q320" s="806" t="e">
        <f t="shared" si="182"/>
        <v>#REF!</v>
      </c>
    </row>
    <row r="321" spans="1:19" ht="45.6" customHeight="1" x14ac:dyDescent="0.2">
      <c r="A321" s="90" t="str">
        <f t="shared" si="180"/>
        <v>МАОУ СОШ № 2 им.М.И.Грибушина структурное подразделение</v>
      </c>
      <c r="B321" s="166"/>
      <c r="C321" s="166"/>
      <c r="D321" s="155"/>
      <c r="E321" s="166"/>
      <c r="F321" s="166"/>
      <c r="G321" s="166"/>
      <c r="H321" s="166"/>
      <c r="I321" s="166"/>
      <c r="J321" s="166"/>
      <c r="K321" s="166"/>
      <c r="L321" s="155"/>
      <c r="M321" s="166"/>
      <c r="N321" s="166"/>
      <c r="O321" s="741"/>
      <c r="P321" s="155">
        <f t="shared" si="181"/>
        <v>6218300</v>
      </c>
      <c r="Q321" s="806" t="e">
        <f t="shared" si="182"/>
        <v>#REF!</v>
      </c>
    </row>
    <row r="322" spans="1:19" ht="31.15" customHeight="1" x14ac:dyDescent="0.2">
      <c r="A322" s="90" t="str">
        <f t="shared" si="180"/>
        <v>МАОУ СОШ № 10 структурное подразделение</v>
      </c>
      <c r="B322" s="166"/>
      <c r="C322" s="166"/>
      <c r="D322" s="155"/>
      <c r="E322" s="166"/>
      <c r="F322" s="166"/>
      <c r="G322" s="166"/>
      <c r="H322" s="166"/>
      <c r="I322" s="166"/>
      <c r="J322" s="166"/>
      <c r="K322" s="166"/>
      <c r="L322" s="155"/>
      <c r="M322" s="166"/>
      <c r="N322" s="166"/>
      <c r="O322" s="741"/>
      <c r="P322" s="155">
        <f t="shared" si="181"/>
        <v>5128500</v>
      </c>
      <c r="Q322" s="806" t="e">
        <f t="shared" si="182"/>
        <v>#REF!</v>
      </c>
    </row>
    <row r="323" spans="1:19" ht="33" customHeight="1" x14ac:dyDescent="0.2">
      <c r="A323" s="90" t="str">
        <f t="shared" si="180"/>
        <v>МАОУ СОШ № 13 структурное подразделение</v>
      </c>
      <c r="B323" s="166"/>
      <c r="C323" s="166"/>
      <c r="D323" s="155"/>
      <c r="E323" s="166"/>
      <c r="F323" s="166"/>
      <c r="G323" s="166"/>
      <c r="H323" s="166"/>
      <c r="I323" s="166"/>
      <c r="J323" s="166"/>
      <c r="K323" s="166"/>
      <c r="L323" s="155"/>
      <c r="M323" s="166"/>
      <c r="N323" s="166"/>
      <c r="O323" s="769"/>
      <c r="P323" s="155">
        <f t="shared" si="181"/>
        <v>3922900</v>
      </c>
      <c r="Q323" s="806" t="e">
        <f t="shared" si="182"/>
        <v>#REF!</v>
      </c>
    </row>
    <row r="324" spans="1:19" ht="30" customHeight="1" x14ac:dyDescent="0.2">
      <c r="A324" s="90" t="str">
        <f t="shared" si="180"/>
        <v>Гимназия № 16 структурное подразделение</v>
      </c>
      <c r="B324" s="166"/>
      <c r="C324" s="166"/>
      <c r="D324" s="155"/>
      <c r="E324" s="166"/>
      <c r="F324" s="166"/>
      <c r="G324" s="166"/>
      <c r="H324" s="166"/>
      <c r="I324" s="166"/>
      <c r="J324" s="166"/>
      <c r="K324" s="166"/>
      <c r="L324" s="155"/>
      <c r="M324" s="166"/>
      <c r="N324" s="166"/>
      <c r="O324" s="741"/>
      <c r="P324" s="155">
        <f t="shared" si="181"/>
        <v>9158500</v>
      </c>
      <c r="Q324" s="806" t="e">
        <f t="shared" si="182"/>
        <v>#REF!</v>
      </c>
    </row>
    <row r="325" spans="1:19" ht="46.15" customHeight="1" x14ac:dyDescent="0.2">
      <c r="A325" s="90" t="str">
        <f t="shared" si="180"/>
        <v>МАОУ ООШ № 17 с кадетскими классами структурное подразделение</v>
      </c>
      <c r="B325" s="345"/>
      <c r="C325" s="345"/>
      <c r="D325" s="155"/>
      <c r="E325" s="345"/>
      <c r="F325" s="345"/>
      <c r="G325" s="345"/>
      <c r="H325" s="345"/>
      <c r="I325" s="345"/>
      <c r="J325" s="345"/>
      <c r="K325" s="345"/>
      <c r="L325" s="155"/>
      <c r="M325" s="345"/>
      <c r="N325" s="345"/>
      <c r="O325" s="741"/>
      <c r="P325" s="155">
        <f t="shared" si="181"/>
        <v>2346700</v>
      </c>
      <c r="Q325" s="806" t="e">
        <f t="shared" si="182"/>
        <v>#REF!</v>
      </c>
    </row>
    <row r="326" spans="1:19" ht="57.6" hidden="1" customHeight="1" outlineLevel="1" x14ac:dyDescent="0.2">
      <c r="A326" s="173" t="str">
        <f t="shared" si="180"/>
        <v>Реализация основных общеобразовательных программ дошкольного образования От 1 года до 3 лет Очная группа полного дня</v>
      </c>
      <c r="B326" s="174" t="s">
        <v>343</v>
      </c>
      <c r="C326" s="175"/>
      <c r="D326" s="175"/>
      <c r="E326" s="175"/>
      <c r="F326" s="176">
        <f>'Общий 2023'!F7</f>
        <v>9338.74</v>
      </c>
      <c r="G326" s="176">
        <f>'Общий 2023'!G7</f>
        <v>490.65999999999997</v>
      </c>
      <c r="H326" s="176">
        <f>'Общий 2023'!H7</f>
        <v>158.88</v>
      </c>
      <c r="I326" s="176">
        <f>'Общий 2023'!I7</f>
        <v>393.6</v>
      </c>
      <c r="J326" s="176"/>
      <c r="K326" s="176"/>
      <c r="L326" s="176">
        <f>'Общий 2023'!L7</f>
        <v>613.29</v>
      </c>
      <c r="M326" s="175"/>
      <c r="N326" s="175"/>
      <c r="O326" s="765">
        <f>SUM(O327:O335)</f>
        <v>768</v>
      </c>
      <c r="P326" s="175"/>
      <c r="Q326" s="176">
        <f>SUM(Q327:Q335)</f>
        <v>8966700</v>
      </c>
    </row>
    <row r="327" spans="1:19" ht="12.95" hidden="1" customHeight="1" outlineLevel="2" x14ac:dyDescent="0.2">
      <c r="A327" s="156" t="str">
        <f t="shared" si="180"/>
        <v>МАДОУ ЦРР-детский сад № 2</v>
      </c>
      <c r="B327" s="172"/>
      <c r="C327" s="166"/>
      <c r="D327" s="166"/>
      <c r="E327" s="166"/>
      <c r="F327" s="155">
        <f>$F$326</f>
        <v>9338.74</v>
      </c>
      <c r="G327" s="155">
        <f>$G$326</f>
        <v>490.65999999999997</v>
      </c>
      <c r="H327" s="155">
        <f>$H$326</f>
        <v>158.88</v>
      </c>
      <c r="I327" s="155">
        <f>$I$326</f>
        <v>393.6</v>
      </c>
      <c r="J327" s="155"/>
      <c r="K327" s="155"/>
      <c r="L327" s="155">
        <f>$L$326</f>
        <v>613.29</v>
      </c>
      <c r="M327" s="180">
        <f t="shared" ref="M327:O335" si="183">M167</f>
        <v>1</v>
      </c>
      <c r="N327" s="180">
        <f t="shared" si="183"/>
        <v>1.0249999999999999</v>
      </c>
      <c r="O327" s="766">
        <f t="shared" si="183"/>
        <v>81</v>
      </c>
      <c r="P327" s="155"/>
      <c r="Q327" s="155">
        <f>ROUND(ROUND((C327+D327+E327+F327+G327+H327+I327+J327+K327+L327)*M327*N327,2)*O327-P327,-2)</f>
        <v>912900</v>
      </c>
      <c r="R327" s="189">
        <f t="shared" ref="R327:R355" si="184">(B327+C327+D327+E327+F327+G327+H327+I327+J327+K327+L327)*M327*N327</f>
        <v>11270.049249999996</v>
      </c>
      <c r="S327" s="186"/>
    </row>
    <row r="328" spans="1:19" ht="12.95" hidden="1" customHeight="1" outlineLevel="2" x14ac:dyDescent="0.2">
      <c r="A328" s="156" t="str">
        <f t="shared" si="180"/>
        <v>МАДОУ ЦРР-детский сад № 11</v>
      </c>
      <c r="B328" s="172"/>
      <c r="C328" s="166"/>
      <c r="D328" s="166"/>
      <c r="E328" s="166"/>
      <c r="F328" s="155">
        <f t="shared" ref="F328:F335" si="185">$F$326</f>
        <v>9338.74</v>
      </c>
      <c r="G328" s="155">
        <f t="shared" ref="G328:G335" si="186">$G$326</f>
        <v>490.65999999999997</v>
      </c>
      <c r="H328" s="155">
        <f t="shared" ref="H328:H335" si="187">$H$326</f>
        <v>158.88</v>
      </c>
      <c r="I328" s="155">
        <f t="shared" ref="I328:I335" si="188">$I$326</f>
        <v>393.6</v>
      </c>
      <c r="J328" s="155"/>
      <c r="K328" s="155"/>
      <c r="L328" s="155">
        <f t="shared" ref="L328:L335" si="189">$L$326</f>
        <v>613.29</v>
      </c>
      <c r="M328" s="180">
        <f t="shared" si="183"/>
        <v>1</v>
      </c>
      <c r="N328" s="180">
        <f t="shared" si="183"/>
        <v>0.93799999999999994</v>
      </c>
      <c r="O328" s="766">
        <f t="shared" si="183"/>
        <v>145</v>
      </c>
      <c r="P328" s="155"/>
      <c r="Q328" s="155">
        <f t="shared" ref="Q328:Q335" si="190">ROUND(ROUND((C328+D328+E328+F328+G328+H328+I328+J328+K328+L328)*M328*N328,2)*O328-P328,-2)</f>
        <v>1495500</v>
      </c>
      <c r="R328" s="189">
        <f t="shared" si="184"/>
        <v>10313.469459999998</v>
      </c>
      <c r="S328" s="186"/>
    </row>
    <row r="329" spans="1:19" ht="12.95" hidden="1" customHeight="1" outlineLevel="2" x14ac:dyDescent="0.2">
      <c r="A329" s="156" t="str">
        <f t="shared" si="180"/>
        <v>МАДОУ ЦРР-детский сад № 13</v>
      </c>
      <c r="B329" s="172"/>
      <c r="C329" s="166"/>
      <c r="D329" s="166"/>
      <c r="E329" s="166"/>
      <c r="F329" s="155">
        <f t="shared" si="185"/>
        <v>9338.74</v>
      </c>
      <c r="G329" s="155">
        <f t="shared" si="186"/>
        <v>490.65999999999997</v>
      </c>
      <c r="H329" s="155">
        <f t="shared" si="187"/>
        <v>158.88</v>
      </c>
      <c r="I329" s="155">
        <f t="shared" si="188"/>
        <v>393.6</v>
      </c>
      <c r="J329" s="155"/>
      <c r="K329" s="155"/>
      <c r="L329" s="155">
        <f t="shared" si="189"/>
        <v>613.29</v>
      </c>
      <c r="M329" s="180">
        <f t="shared" si="183"/>
        <v>1</v>
      </c>
      <c r="N329" s="180">
        <f t="shared" si="183"/>
        <v>0.96399999999999997</v>
      </c>
      <c r="O329" s="766">
        <f t="shared" si="183"/>
        <v>217</v>
      </c>
      <c r="P329" s="155"/>
      <c r="Q329" s="155">
        <f t="shared" si="190"/>
        <v>2300100</v>
      </c>
      <c r="R329" s="189">
        <f t="shared" si="184"/>
        <v>10599.343879999999</v>
      </c>
      <c r="S329" s="186"/>
    </row>
    <row r="330" spans="1:19" ht="27" hidden="1" customHeight="1" outlineLevel="2" x14ac:dyDescent="0.2">
      <c r="A330" s="156" t="str">
        <f t="shared" si="180"/>
        <v>МАОУ СОШ № 1 структурное подразделение</v>
      </c>
      <c r="B330" s="172"/>
      <c r="C330" s="166"/>
      <c r="D330" s="166"/>
      <c r="E330" s="166"/>
      <c r="F330" s="155">
        <f t="shared" si="185"/>
        <v>9338.74</v>
      </c>
      <c r="G330" s="155">
        <f t="shared" si="186"/>
        <v>490.65999999999997</v>
      </c>
      <c r="H330" s="155">
        <f t="shared" si="187"/>
        <v>158.88</v>
      </c>
      <c r="I330" s="155">
        <f t="shared" si="188"/>
        <v>393.6</v>
      </c>
      <c r="J330" s="155"/>
      <c r="K330" s="155"/>
      <c r="L330" s="155">
        <f t="shared" si="189"/>
        <v>613.29</v>
      </c>
      <c r="M330" s="180">
        <f t="shared" si="183"/>
        <v>1</v>
      </c>
      <c r="N330" s="180">
        <f t="shared" si="183"/>
        <v>0.88800000000000001</v>
      </c>
      <c r="O330" s="766">
        <f t="shared" si="183"/>
        <v>54</v>
      </c>
      <c r="P330" s="155"/>
      <c r="Q330" s="155">
        <f t="shared" si="190"/>
        <v>527200</v>
      </c>
      <c r="R330" s="189">
        <f t="shared" si="184"/>
        <v>9763.7109599999985</v>
      </c>
      <c r="S330" s="186"/>
    </row>
    <row r="331" spans="1:19" ht="40.9" hidden="1" customHeight="1" outlineLevel="2" x14ac:dyDescent="0.2">
      <c r="A331" s="156" t="str">
        <f t="shared" si="180"/>
        <v>МАОУ СОШ № 2 им.М.И.Грибушина структурное подразделение</v>
      </c>
      <c r="B331" s="172"/>
      <c r="C331" s="166"/>
      <c r="D331" s="166"/>
      <c r="E331" s="166"/>
      <c r="F331" s="155">
        <f t="shared" si="185"/>
        <v>9338.74</v>
      </c>
      <c r="G331" s="155">
        <f t="shared" si="186"/>
        <v>490.65999999999997</v>
      </c>
      <c r="H331" s="155">
        <f t="shared" si="187"/>
        <v>158.88</v>
      </c>
      <c r="I331" s="155">
        <f t="shared" si="188"/>
        <v>393.6</v>
      </c>
      <c r="J331" s="155"/>
      <c r="K331" s="155"/>
      <c r="L331" s="155">
        <f t="shared" si="189"/>
        <v>613.29</v>
      </c>
      <c r="M331" s="180">
        <f t="shared" si="183"/>
        <v>1</v>
      </c>
      <c r="N331" s="180">
        <f t="shared" si="183"/>
        <v>1.012</v>
      </c>
      <c r="O331" s="766">
        <f t="shared" si="183"/>
        <v>82</v>
      </c>
      <c r="P331" s="155"/>
      <c r="Q331" s="155">
        <f t="shared" si="190"/>
        <v>912400</v>
      </c>
      <c r="R331" s="189">
        <f t="shared" si="184"/>
        <v>11127.112039999998</v>
      </c>
      <c r="S331" s="186"/>
    </row>
    <row r="332" spans="1:19" ht="28.15" hidden="1" customHeight="1" outlineLevel="2" x14ac:dyDescent="0.2">
      <c r="A332" s="156" t="str">
        <f t="shared" si="180"/>
        <v>МАОУ СОШ № 10 структурное подразделение</v>
      </c>
      <c r="B332" s="172"/>
      <c r="C332" s="166"/>
      <c r="D332" s="166"/>
      <c r="E332" s="166"/>
      <c r="F332" s="155">
        <f t="shared" si="185"/>
        <v>9338.74</v>
      </c>
      <c r="G332" s="155">
        <f t="shared" si="186"/>
        <v>490.65999999999997</v>
      </c>
      <c r="H332" s="155">
        <f t="shared" si="187"/>
        <v>158.88</v>
      </c>
      <c r="I332" s="155">
        <f t="shared" si="188"/>
        <v>393.6</v>
      </c>
      <c r="J332" s="155"/>
      <c r="K332" s="155"/>
      <c r="L332" s="155">
        <f t="shared" si="189"/>
        <v>613.29</v>
      </c>
      <c r="M332" s="180">
        <f t="shared" si="183"/>
        <v>1</v>
      </c>
      <c r="N332" s="180">
        <f t="shared" si="183"/>
        <v>0.82899999999999996</v>
      </c>
      <c r="O332" s="766">
        <f t="shared" si="183"/>
        <v>32</v>
      </c>
      <c r="P332" s="155"/>
      <c r="Q332" s="155">
        <f t="shared" si="190"/>
        <v>291700</v>
      </c>
      <c r="R332" s="189">
        <f t="shared" si="184"/>
        <v>9114.9959299999973</v>
      </c>
      <c r="S332" s="186"/>
    </row>
    <row r="333" spans="1:19" ht="28.9" hidden="1" customHeight="1" outlineLevel="2" x14ac:dyDescent="0.2">
      <c r="A333" s="156" t="str">
        <f t="shared" si="180"/>
        <v>МАОУ СОШ № 13 структурное подразделение</v>
      </c>
      <c r="B333" s="172"/>
      <c r="C333" s="349"/>
      <c r="D333" s="349"/>
      <c r="E333" s="349"/>
      <c r="F333" s="155">
        <f t="shared" si="185"/>
        <v>9338.74</v>
      </c>
      <c r="G333" s="155">
        <f t="shared" si="186"/>
        <v>490.65999999999997</v>
      </c>
      <c r="H333" s="155">
        <f t="shared" si="187"/>
        <v>158.88</v>
      </c>
      <c r="I333" s="155">
        <f t="shared" si="188"/>
        <v>393.6</v>
      </c>
      <c r="J333" s="155"/>
      <c r="K333" s="155"/>
      <c r="L333" s="155">
        <f t="shared" si="189"/>
        <v>613.29</v>
      </c>
      <c r="M333" s="180">
        <f t="shared" si="183"/>
        <v>1</v>
      </c>
      <c r="N333" s="180">
        <f t="shared" si="183"/>
        <v>1.284</v>
      </c>
      <c r="O333" s="766">
        <f t="shared" si="183"/>
        <v>49</v>
      </c>
      <c r="P333" s="155"/>
      <c r="Q333" s="155">
        <f t="shared" si="190"/>
        <v>691800</v>
      </c>
      <c r="R333" s="189">
        <f t="shared" si="184"/>
        <v>14117.798279999997</v>
      </c>
      <c r="S333" s="186"/>
    </row>
    <row r="334" spans="1:19" ht="28.15" hidden="1" customHeight="1" outlineLevel="2" x14ac:dyDescent="0.2">
      <c r="A334" s="156" t="str">
        <f t="shared" si="180"/>
        <v>Гимназия № 16 структурное подразделение</v>
      </c>
      <c r="B334" s="172"/>
      <c r="C334" s="166"/>
      <c r="D334" s="166"/>
      <c r="E334" s="166"/>
      <c r="F334" s="155">
        <f t="shared" si="185"/>
        <v>9338.74</v>
      </c>
      <c r="G334" s="155">
        <f t="shared" si="186"/>
        <v>490.65999999999997</v>
      </c>
      <c r="H334" s="155">
        <f t="shared" si="187"/>
        <v>158.88</v>
      </c>
      <c r="I334" s="155">
        <f t="shared" si="188"/>
        <v>393.6</v>
      </c>
      <c r="J334" s="155"/>
      <c r="K334" s="155"/>
      <c r="L334" s="155">
        <f t="shared" si="189"/>
        <v>613.29</v>
      </c>
      <c r="M334" s="180">
        <f t="shared" si="183"/>
        <v>1</v>
      </c>
      <c r="N334" s="180">
        <f t="shared" si="183"/>
        <v>1.2290000000000001</v>
      </c>
      <c r="O334" s="766">
        <f t="shared" si="183"/>
        <v>82</v>
      </c>
      <c r="P334" s="155"/>
      <c r="Q334" s="155">
        <f t="shared" si="190"/>
        <v>1108100</v>
      </c>
      <c r="R334" s="189">
        <f t="shared" si="184"/>
        <v>13513.063929999998</v>
      </c>
      <c r="S334" s="186"/>
    </row>
    <row r="335" spans="1:19" ht="39.6" hidden="1" customHeight="1" outlineLevel="2" x14ac:dyDescent="0.2">
      <c r="A335" s="156" t="str">
        <f t="shared" si="180"/>
        <v>МАОУ ООШ № 17 с кадетскими классами структурное подразделение</v>
      </c>
      <c r="B335" s="172"/>
      <c r="C335" s="166"/>
      <c r="D335" s="166"/>
      <c r="E335" s="166"/>
      <c r="F335" s="155">
        <f t="shared" si="185"/>
        <v>9338.74</v>
      </c>
      <c r="G335" s="155">
        <f t="shared" si="186"/>
        <v>490.65999999999997</v>
      </c>
      <c r="H335" s="155">
        <f t="shared" si="187"/>
        <v>158.88</v>
      </c>
      <c r="I335" s="155">
        <f t="shared" si="188"/>
        <v>393.6</v>
      </c>
      <c r="J335" s="155"/>
      <c r="K335" s="155"/>
      <c r="L335" s="155">
        <f t="shared" si="189"/>
        <v>613.29</v>
      </c>
      <c r="M335" s="180">
        <f t="shared" si="183"/>
        <v>1</v>
      </c>
      <c r="N335" s="180">
        <f t="shared" si="183"/>
        <v>2.5430000000000001</v>
      </c>
      <c r="O335" s="766">
        <f t="shared" si="183"/>
        <v>26</v>
      </c>
      <c r="P335" s="155"/>
      <c r="Q335" s="155">
        <f t="shared" si="190"/>
        <v>727000</v>
      </c>
      <c r="R335" s="189">
        <f t="shared" si="184"/>
        <v>27960.717309999996</v>
      </c>
      <c r="S335" s="186"/>
    </row>
    <row r="336" spans="1:19" ht="56.25" hidden="1" customHeight="1" outlineLevel="1" collapsed="1" x14ac:dyDescent="0.2">
      <c r="A336" s="177" t="str">
        <f t="shared" si="180"/>
        <v>Реализация основных общеобразовательных программ дошкольного образования От 3 лет до 8 лет Очная группа полного дня</v>
      </c>
      <c r="B336" s="175" t="str">
        <f>B176</f>
        <v>801011О.99.0.БВ24ДН82000</v>
      </c>
      <c r="C336" s="175"/>
      <c r="D336" s="175"/>
      <c r="E336" s="175"/>
      <c r="F336" s="176">
        <f>'Общий 2023'!F8</f>
        <v>9338.74</v>
      </c>
      <c r="G336" s="176">
        <f>'Общий 2023'!G8</f>
        <v>490.65999999999997</v>
      </c>
      <c r="H336" s="176">
        <f>'Общий 2023'!H8</f>
        <v>158.88</v>
      </c>
      <c r="I336" s="176">
        <f>'Общий 2023'!I8</f>
        <v>393.6</v>
      </c>
      <c r="J336" s="176"/>
      <c r="K336" s="176"/>
      <c r="L336" s="176">
        <f>'Общий 2023'!L8</f>
        <v>521.6</v>
      </c>
      <c r="M336" s="181"/>
      <c r="N336" s="181"/>
      <c r="O336" s="765">
        <f>SUM(O337:O345)</f>
        <v>2847</v>
      </c>
      <c r="P336" s="175"/>
      <c r="Q336" s="176">
        <f>SUM(Q337:Q345)</f>
        <v>32876300</v>
      </c>
    </row>
    <row r="337" spans="1:18" s="92" customFormat="1" ht="12.95" hidden="1" customHeight="1" outlineLevel="2" x14ac:dyDescent="0.2">
      <c r="A337" s="90" t="str">
        <f t="shared" si="180"/>
        <v>МАДОУ ЦРР-детский сад № 2</v>
      </c>
      <c r="B337" s="178"/>
      <c r="C337" s="178"/>
      <c r="D337" s="178"/>
      <c r="E337" s="178"/>
      <c r="F337" s="155">
        <f>$F$336</f>
        <v>9338.74</v>
      </c>
      <c r="G337" s="155">
        <f>$G$336</f>
        <v>490.65999999999997</v>
      </c>
      <c r="H337" s="155">
        <f>$H$336</f>
        <v>158.88</v>
      </c>
      <c r="I337" s="155">
        <f>$I$336</f>
        <v>393.6</v>
      </c>
      <c r="J337" s="155"/>
      <c r="K337" s="155"/>
      <c r="L337" s="155">
        <f>$L$336</f>
        <v>521.6</v>
      </c>
      <c r="M337" s="182">
        <f t="shared" ref="M337:O345" si="191">M177</f>
        <v>1</v>
      </c>
      <c r="N337" s="182">
        <f t="shared" si="191"/>
        <v>1.0249999999999999</v>
      </c>
      <c r="O337" s="767">
        <f t="shared" si="191"/>
        <v>445</v>
      </c>
      <c r="P337" s="179"/>
      <c r="Q337" s="155">
        <f>ROUND(ROUND((C337+D337+E337+F337+G337+H337+I337+J337+K337+L337)*M337*N337,2)*O337-P337,-2)</f>
        <v>4973400</v>
      </c>
      <c r="R337" s="189">
        <f t="shared" si="184"/>
        <v>11176.066999999999</v>
      </c>
    </row>
    <row r="338" spans="1:18" s="92" customFormat="1" ht="12.95" hidden="1" customHeight="1" outlineLevel="2" x14ac:dyDescent="0.2">
      <c r="A338" s="90" t="str">
        <f t="shared" si="180"/>
        <v>МАДОУ ЦРР-детский сад № 11</v>
      </c>
      <c r="B338" s="178"/>
      <c r="C338" s="178"/>
      <c r="D338" s="178"/>
      <c r="E338" s="178"/>
      <c r="F338" s="155">
        <f t="shared" ref="F338:F345" si="192">$F$336</f>
        <v>9338.74</v>
      </c>
      <c r="G338" s="155">
        <f t="shared" ref="G338:G345" si="193">$G$336</f>
        <v>490.65999999999997</v>
      </c>
      <c r="H338" s="155">
        <f t="shared" ref="H338:H345" si="194">$H$336</f>
        <v>158.88</v>
      </c>
      <c r="I338" s="155">
        <f t="shared" ref="I338:I345" si="195">$I$336</f>
        <v>393.6</v>
      </c>
      <c r="J338" s="155"/>
      <c r="K338" s="155"/>
      <c r="L338" s="155">
        <f t="shared" ref="L338:L345" si="196">$L$336</f>
        <v>521.6</v>
      </c>
      <c r="M338" s="182">
        <f t="shared" si="191"/>
        <v>1</v>
      </c>
      <c r="N338" s="182">
        <f t="shared" si="191"/>
        <v>0.93799999999999994</v>
      </c>
      <c r="O338" s="767">
        <f t="shared" si="191"/>
        <v>423</v>
      </c>
      <c r="P338" s="179"/>
      <c r="Q338" s="155">
        <f t="shared" ref="Q338:Q345" si="197">ROUND(ROUND((C338+D338+E338+F338+G338+H338+I338+J338+K338+L338)*M338*N338,2)*O338-P338,-2)</f>
        <v>4326200</v>
      </c>
      <c r="R338" s="189">
        <f t="shared" si="184"/>
        <v>10227.464239999999</v>
      </c>
    </row>
    <row r="339" spans="1:18" s="92" customFormat="1" ht="12.95" hidden="1" customHeight="1" outlineLevel="2" x14ac:dyDescent="0.2">
      <c r="A339" s="90" t="str">
        <f t="shared" si="180"/>
        <v>МАДОУ ЦРР-детский сад № 13</v>
      </c>
      <c r="B339" s="178"/>
      <c r="C339" s="178"/>
      <c r="D339" s="178"/>
      <c r="E339" s="178"/>
      <c r="F339" s="155">
        <f t="shared" si="192"/>
        <v>9338.74</v>
      </c>
      <c r="G339" s="155">
        <f t="shared" si="193"/>
        <v>490.65999999999997</v>
      </c>
      <c r="H339" s="155">
        <f t="shared" si="194"/>
        <v>158.88</v>
      </c>
      <c r="I339" s="155">
        <f t="shared" si="195"/>
        <v>393.6</v>
      </c>
      <c r="J339" s="155"/>
      <c r="K339" s="155"/>
      <c r="L339" s="155">
        <f t="shared" si="196"/>
        <v>521.6</v>
      </c>
      <c r="M339" s="182">
        <f t="shared" si="191"/>
        <v>1</v>
      </c>
      <c r="N339" s="182">
        <f t="shared" si="191"/>
        <v>0.96399999999999997</v>
      </c>
      <c r="O339" s="767">
        <f t="shared" si="191"/>
        <v>509</v>
      </c>
      <c r="P339" s="179"/>
      <c r="Q339" s="155">
        <f t="shared" si="197"/>
        <v>5350100</v>
      </c>
      <c r="R339" s="189">
        <f t="shared" si="184"/>
        <v>10510.95472</v>
      </c>
    </row>
    <row r="340" spans="1:18" s="92" customFormat="1" ht="27" hidden="1" customHeight="1" outlineLevel="2" x14ac:dyDescent="0.2">
      <c r="A340" s="90" t="str">
        <f t="shared" si="180"/>
        <v>МАОУ СОШ № 1 структурное подразделение</v>
      </c>
      <c r="B340" s="178"/>
      <c r="C340" s="178"/>
      <c r="D340" s="178"/>
      <c r="E340" s="178"/>
      <c r="F340" s="155">
        <f t="shared" si="192"/>
        <v>9338.74</v>
      </c>
      <c r="G340" s="155">
        <f t="shared" si="193"/>
        <v>490.65999999999997</v>
      </c>
      <c r="H340" s="155">
        <f t="shared" si="194"/>
        <v>158.88</v>
      </c>
      <c r="I340" s="155">
        <f t="shared" si="195"/>
        <v>393.6</v>
      </c>
      <c r="J340" s="155"/>
      <c r="K340" s="155"/>
      <c r="L340" s="155">
        <f t="shared" si="196"/>
        <v>521.6</v>
      </c>
      <c r="M340" s="182">
        <f t="shared" si="191"/>
        <v>1</v>
      </c>
      <c r="N340" s="182">
        <f t="shared" si="191"/>
        <v>0.88800000000000001</v>
      </c>
      <c r="O340" s="767">
        <f t="shared" si="191"/>
        <v>377</v>
      </c>
      <c r="P340" s="179"/>
      <c r="Q340" s="155">
        <f t="shared" si="197"/>
        <v>3650200</v>
      </c>
      <c r="R340" s="189">
        <f t="shared" si="184"/>
        <v>9682.2902400000003</v>
      </c>
    </row>
    <row r="341" spans="1:18" s="92" customFormat="1" ht="42" hidden="1" customHeight="1" outlineLevel="2" x14ac:dyDescent="0.2">
      <c r="A341" s="90" t="str">
        <f t="shared" si="180"/>
        <v>МАОУ СОШ № 2 им.М.И.Грибушина структурное подразделение</v>
      </c>
      <c r="B341" s="178"/>
      <c r="C341" s="178"/>
      <c r="D341" s="178"/>
      <c r="E341" s="178"/>
      <c r="F341" s="155">
        <f t="shared" si="192"/>
        <v>9338.74</v>
      </c>
      <c r="G341" s="155">
        <f t="shared" si="193"/>
        <v>490.65999999999997</v>
      </c>
      <c r="H341" s="155">
        <f t="shared" si="194"/>
        <v>158.88</v>
      </c>
      <c r="I341" s="155">
        <f t="shared" si="195"/>
        <v>393.6</v>
      </c>
      <c r="J341" s="155"/>
      <c r="K341" s="155"/>
      <c r="L341" s="155">
        <f t="shared" si="196"/>
        <v>521.6</v>
      </c>
      <c r="M341" s="182">
        <f t="shared" si="191"/>
        <v>1</v>
      </c>
      <c r="N341" s="182">
        <f t="shared" si="191"/>
        <v>1.012</v>
      </c>
      <c r="O341" s="767">
        <f t="shared" si="191"/>
        <v>235</v>
      </c>
      <c r="P341" s="179"/>
      <c r="Q341" s="155">
        <f t="shared" si="197"/>
        <v>2593100</v>
      </c>
      <c r="R341" s="189">
        <f t="shared" si="184"/>
        <v>11034.321759999999</v>
      </c>
    </row>
    <row r="342" spans="1:18" s="92" customFormat="1" ht="27" hidden="1" customHeight="1" outlineLevel="2" x14ac:dyDescent="0.2">
      <c r="A342" s="90" t="str">
        <f t="shared" si="180"/>
        <v>МАОУ СОШ № 10 структурное подразделение</v>
      </c>
      <c r="B342" s="178"/>
      <c r="C342" s="178"/>
      <c r="D342" s="178"/>
      <c r="E342" s="178"/>
      <c r="F342" s="155">
        <f t="shared" si="192"/>
        <v>9338.74</v>
      </c>
      <c r="G342" s="155">
        <f t="shared" si="193"/>
        <v>490.65999999999997</v>
      </c>
      <c r="H342" s="155">
        <f t="shared" si="194"/>
        <v>158.88</v>
      </c>
      <c r="I342" s="155">
        <f t="shared" si="195"/>
        <v>393.6</v>
      </c>
      <c r="J342" s="155"/>
      <c r="K342" s="155"/>
      <c r="L342" s="155">
        <f t="shared" si="196"/>
        <v>521.6</v>
      </c>
      <c r="M342" s="182">
        <f t="shared" si="191"/>
        <v>1</v>
      </c>
      <c r="N342" s="182">
        <f t="shared" si="191"/>
        <v>0.82899999999999996</v>
      </c>
      <c r="O342" s="767">
        <f t="shared" si="191"/>
        <v>225</v>
      </c>
      <c r="P342" s="179"/>
      <c r="Q342" s="155">
        <f t="shared" si="197"/>
        <v>2033800</v>
      </c>
      <c r="R342" s="189">
        <f t="shared" si="184"/>
        <v>9038.984919999999</v>
      </c>
    </row>
    <row r="343" spans="1:18" s="92" customFormat="1" ht="26.45" hidden="1" customHeight="1" outlineLevel="2" x14ac:dyDescent="0.2">
      <c r="A343" s="90" t="str">
        <f t="shared" si="180"/>
        <v>МАОУ СОШ № 13 структурное подразделение</v>
      </c>
      <c r="B343" s="178"/>
      <c r="C343" s="178"/>
      <c r="D343" s="178"/>
      <c r="E343" s="178"/>
      <c r="F343" s="155">
        <f t="shared" si="192"/>
        <v>9338.74</v>
      </c>
      <c r="G343" s="155">
        <f t="shared" si="193"/>
        <v>490.65999999999997</v>
      </c>
      <c r="H343" s="155">
        <f t="shared" si="194"/>
        <v>158.88</v>
      </c>
      <c r="I343" s="155">
        <f t="shared" si="195"/>
        <v>393.6</v>
      </c>
      <c r="J343" s="155"/>
      <c r="K343" s="155"/>
      <c r="L343" s="155">
        <f t="shared" si="196"/>
        <v>521.6</v>
      </c>
      <c r="M343" s="182">
        <f t="shared" si="191"/>
        <v>1</v>
      </c>
      <c r="N343" s="182">
        <f t="shared" si="191"/>
        <v>1.284</v>
      </c>
      <c r="O343" s="767">
        <f t="shared" si="191"/>
        <v>153</v>
      </c>
      <c r="P343" s="179"/>
      <c r="Q343" s="155">
        <f t="shared" si="197"/>
        <v>2142000</v>
      </c>
      <c r="R343" s="189">
        <f t="shared" si="184"/>
        <v>14000.06832</v>
      </c>
    </row>
    <row r="344" spans="1:18" s="92" customFormat="1" ht="28.9" hidden="1" customHeight="1" outlineLevel="2" x14ac:dyDescent="0.2">
      <c r="A344" s="90" t="str">
        <f t="shared" si="180"/>
        <v>Гимназия № 16 структурное подразделение</v>
      </c>
      <c r="B344" s="178"/>
      <c r="C344" s="178"/>
      <c r="D344" s="178"/>
      <c r="E344" s="178"/>
      <c r="F344" s="155">
        <f t="shared" si="192"/>
        <v>9338.74</v>
      </c>
      <c r="G344" s="155">
        <f t="shared" si="193"/>
        <v>490.65999999999997</v>
      </c>
      <c r="H344" s="155">
        <f t="shared" si="194"/>
        <v>158.88</v>
      </c>
      <c r="I344" s="155">
        <f t="shared" si="195"/>
        <v>393.6</v>
      </c>
      <c r="J344" s="155"/>
      <c r="K344" s="155"/>
      <c r="L344" s="155">
        <f t="shared" si="196"/>
        <v>521.6</v>
      </c>
      <c r="M344" s="182">
        <f t="shared" si="191"/>
        <v>1</v>
      </c>
      <c r="N344" s="182">
        <f t="shared" si="191"/>
        <v>1.2290000000000001</v>
      </c>
      <c r="O344" s="767">
        <f t="shared" si="191"/>
        <v>384</v>
      </c>
      <c r="P344" s="179"/>
      <c r="Q344" s="155">
        <f t="shared" si="197"/>
        <v>5145700</v>
      </c>
      <c r="R344" s="189">
        <f t="shared" si="184"/>
        <v>13400.376920000001</v>
      </c>
    </row>
    <row r="345" spans="1:18" s="92" customFormat="1" ht="43.9" hidden="1" customHeight="1" outlineLevel="2" x14ac:dyDescent="0.2">
      <c r="A345" s="90" t="str">
        <f t="shared" si="180"/>
        <v>МАОУ ООШ № 17 с кадетскими классами структурное подразделение</v>
      </c>
      <c r="B345" s="178"/>
      <c r="C345" s="178"/>
      <c r="D345" s="178"/>
      <c r="E345" s="178"/>
      <c r="F345" s="155">
        <f t="shared" si="192"/>
        <v>9338.74</v>
      </c>
      <c r="G345" s="155">
        <f t="shared" si="193"/>
        <v>490.65999999999997</v>
      </c>
      <c r="H345" s="155">
        <f t="shared" si="194"/>
        <v>158.88</v>
      </c>
      <c r="I345" s="155">
        <f t="shared" si="195"/>
        <v>393.6</v>
      </c>
      <c r="J345" s="155"/>
      <c r="K345" s="155"/>
      <c r="L345" s="155">
        <f t="shared" si="196"/>
        <v>521.6</v>
      </c>
      <c r="M345" s="182">
        <f t="shared" si="191"/>
        <v>1</v>
      </c>
      <c r="N345" s="182">
        <f t="shared" si="191"/>
        <v>2.5430000000000001</v>
      </c>
      <c r="O345" s="767">
        <f t="shared" si="191"/>
        <v>96</v>
      </c>
      <c r="P345" s="179"/>
      <c r="Q345" s="155">
        <f t="shared" si="197"/>
        <v>2661800</v>
      </c>
      <c r="R345" s="189">
        <f t="shared" si="184"/>
        <v>27727.549640000001</v>
      </c>
    </row>
    <row r="346" spans="1:18" s="92" customFormat="1" ht="100.9" hidden="1" customHeight="1" outlineLevel="1" collapsed="1" x14ac:dyDescent="0.2">
      <c r="A346" s="339" t="str">
        <f t="shared" si="180"/>
        <v>Реализация основных общеобразовательных программ дошкольного образования Обучающиеся с ограниченными возможностями здоровья (ОВЗ) От 1 года до 3 лет Очная группа полного дня</v>
      </c>
      <c r="B346" s="471" t="s">
        <v>377</v>
      </c>
      <c r="C346" s="175"/>
      <c r="D346" s="175"/>
      <c r="E346" s="175"/>
      <c r="F346" s="176">
        <f>'Общий 2023'!F9</f>
        <v>9338.74</v>
      </c>
      <c r="G346" s="176">
        <f>'Общий 2023'!G9</f>
        <v>490.65999999999997</v>
      </c>
      <c r="H346" s="176">
        <f>'Общий 2023'!H9</f>
        <v>158.88</v>
      </c>
      <c r="I346" s="176">
        <f>'Общий 2023'!I9</f>
        <v>393.6</v>
      </c>
      <c r="J346" s="176"/>
      <c r="K346" s="176"/>
      <c r="L346" s="176">
        <f>'Общий 2023'!L9</f>
        <v>613.29</v>
      </c>
      <c r="M346" s="176"/>
      <c r="N346" s="176"/>
      <c r="O346" s="765">
        <f>SUM(O347:O355)</f>
        <v>2</v>
      </c>
      <c r="P346" s="176"/>
      <c r="Q346" s="176">
        <f>SUM(Q347:Q355)</f>
        <v>20400</v>
      </c>
      <c r="R346" s="189"/>
    </row>
    <row r="347" spans="1:18" s="92" customFormat="1" ht="19.149999999999999" hidden="1" customHeight="1" outlineLevel="2" x14ac:dyDescent="0.2">
      <c r="A347" s="90" t="str">
        <f t="shared" si="180"/>
        <v>МАДОУ ЦРР-детский сад № 2</v>
      </c>
      <c r="B347" s="178"/>
      <c r="C347" s="178"/>
      <c r="D347" s="178"/>
      <c r="E347" s="178"/>
      <c r="F347" s="155">
        <f>F346</f>
        <v>9338.74</v>
      </c>
      <c r="G347" s="155">
        <f t="shared" ref="G347:L347" si="198">G346</f>
        <v>490.65999999999997</v>
      </c>
      <c r="H347" s="155">
        <f t="shared" si="198"/>
        <v>158.88</v>
      </c>
      <c r="I347" s="155">
        <f t="shared" si="198"/>
        <v>393.6</v>
      </c>
      <c r="J347" s="155"/>
      <c r="K347" s="155"/>
      <c r="L347" s="155">
        <f t="shared" si="198"/>
        <v>613.29</v>
      </c>
      <c r="M347" s="182">
        <f t="shared" ref="M347:O355" si="199">M187</f>
        <v>1</v>
      </c>
      <c r="N347" s="182">
        <f t="shared" si="199"/>
        <v>1.0249999999999999</v>
      </c>
      <c r="O347" s="767">
        <f t="shared" si="199"/>
        <v>0</v>
      </c>
      <c r="P347" s="179"/>
      <c r="Q347" s="155">
        <f>ROUND(ROUND((C347+D347+E347+F347+G347+H347+I347+J347+K347+L347)*M347*N347,2)*O347-P347,-2)</f>
        <v>0</v>
      </c>
      <c r="R347" s="189">
        <f t="shared" si="184"/>
        <v>11270.049249999996</v>
      </c>
    </row>
    <row r="348" spans="1:18" s="92" customFormat="1" ht="19.149999999999999" hidden="1" customHeight="1" outlineLevel="2" x14ac:dyDescent="0.2">
      <c r="A348" s="90" t="str">
        <f t="shared" si="180"/>
        <v>МАДОУ ЦРР-детский сад № 11</v>
      </c>
      <c r="B348" s="178"/>
      <c r="C348" s="178"/>
      <c r="D348" s="178"/>
      <c r="E348" s="178"/>
      <c r="F348" s="155">
        <f t="shared" ref="F348:I355" si="200">F347</f>
        <v>9338.74</v>
      </c>
      <c r="G348" s="155">
        <f t="shared" si="200"/>
        <v>490.65999999999997</v>
      </c>
      <c r="H348" s="155">
        <f t="shared" si="200"/>
        <v>158.88</v>
      </c>
      <c r="I348" s="155">
        <f t="shared" si="200"/>
        <v>393.6</v>
      </c>
      <c r="J348" s="155"/>
      <c r="K348" s="155"/>
      <c r="L348" s="155">
        <f t="shared" ref="L348" si="201">L347</f>
        <v>613.29</v>
      </c>
      <c r="M348" s="182">
        <f t="shared" si="199"/>
        <v>1</v>
      </c>
      <c r="N348" s="182">
        <f t="shared" si="199"/>
        <v>0.93799999999999994</v>
      </c>
      <c r="O348" s="767">
        <f t="shared" si="199"/>
        <v>0</v>
      </c>
      <c r="P348" s="179"/>
      <c r="Q348" s="155">
        <f t="shared" ref="Q348:Q355" si="202">ROUND(ROUND((C348+D348+E348+F348+G348+H348+I348+J348+K348+L348)*M348*N348,2)*O348-P348,-2)</f>
        <v>0</v>
      </c>
      <c r="R348" s="189">
        <f t="shared" si="184"/>
        <v>10313.469459999998</v>
      </c>
    </row>
    <row r="349" spans="1:18" s="92" customFormat="1" ht="19.149999999999999" hidden="1" customHeight="1" outlineLevel="2" x14ac:dyDescent="0.2">
      <c r="A349" s="90" t="str">
        <f t="shared" ref="A349:A380" si="203">A189</f>
        <v>МАДОУ ЦРР-детский сад № 13</v>
      </c>
      <c r="B349" s="178"/>
      <c r="C349" s="178"/>
      <c r="D349" s="178"/>
      <c r="E349" s="178"/>
      <c r="F349" s="155">
        <f t="shared" si="200"/>
        <v>9338.74</v>
      </c>
      <c r="G349" s="155">
        <f t="shared" si="200"/>
        <v>490.65999999999997</v>
      </c>
      <c r="H349" s="155">
        <f t="shared" si="200"/>
        <v>158.88</v>
      </c>
      <c r="I349" s="155">
        <f t="shared" si="200"/>
        <v>393.6</v>
      </c>
      <c r="J349" s="155"/>
      <c r="K349" s="155"/>
      <c r="L349" s="155">
        <f t="shared" ref="L349" si="204">L348</f>
        <v>613.29</v>
      </c>
      <c r="M349" s="182">
        <f t="shared" si="199"/>
        <v>1</v>
      </c>
      <c r="N349" s="182">
        <f t="shared" si="199"/>
        <v>0.96399999999999997</v>
      </c>
      <c r="O349" s="767">
        <f t="shared" si="199"/>
        <v>1</v>
      </c>
      <c r="P349" s="179"/>
      <c r="Q349" s="155">
        <f t="shared" si="202"/>
        <v>10600</v>
      </c>
      <c r="R349" s="189">
        <f t="shared" si="184"/>
        <v>10599.343879999999</v>
      </c>
    </row>
    <row r="350" spans="1:18" s="92" customFormat="1" ht="28.9" hidden="1" customHeight="1" outlineLevel="2" x14ac:dyDescent="0.2">
      <c r="A350" s="90" t="str">
        <f t="shared" si="203"/>
        <v>МАОУ СОШ № 1 структурное подразделение</v>
      </c>
      <c r="B350" s="178"/>
      <c r="C350" s="178"/>
      <c r="D350" s="178"/>
      <c r="E350" s="178"/>
      <c r="F350" s="155">
        <f t="shared" si="200"/>
        <v>9338.74</v>
      </c>
      <c r="G350" s="155">
        <f t="shared" si="200"/>
        <v>490.65999999999997</v>
      </c>
      <c r="H350" s="155">
        <f t="shared" si="200"/>
        <v>158.88</v>
      </c>
      <c r="I350" s="155">
        <f t="shared" si="200"/>
        <v>393.6</v>
      </c>
      <c r="J350" s="155"/>
      <c r="K350" s="155"/>
      <c r="L350" s="155">
        <f t="shared" ref="L350" si="205">L349</f>
        <v>613.29</v>
      </c>
      <c r="M350" s="182">
        <f t="shared" si="199"/>
        <v>1</v>
      </c>
      <c r="N350" s="182">
        <f t="shared" si="199"/>
        <v>0.88800000000000001</v>
      </c>
      <c r="O350" s="767">
        <f t="shared" si="199"/>
        <v>1</v>
      </c>
      <c r="P350" s="179"/>
      <c r="Q350" s="155">
        <f t="shared" si="202"/>
        <v>9800</v>
      </c>
      <c r="R350" s="189">
        <f t="shared" si="184"/>
        <v>9763.7109599999985</v>
      </c>
    </row>
    <row r="351" spans="1:18" s="92" customFormat="1" ht="28.9" hidden="1" customHeight="1" outlineLevel="2" x14ac:dyDescent="0.2">
      <c r="A351" s="90" t="str">
        <f t="shared" si="203"/>
        <v>МАОУ СОШ № 2 им.М.И.Грибушина структурное подразделение</v>
      </c>
      <c r="B351" s="178"/>
      <c r="C351" s="178"/>
      <c r="D351" s="178"/>
      <c r="E351" s="178"/>
      <c r="F351" s="155">
        <f t="shared" si="200"/>
        <v>9338.74</v>
      </c>
      <c r="G351" s="155">
        <f t="shared" si="200"/>
        <v>490.65999999999997</v>
      </c>
      <c r="H351" s="155">
        <f t="shared" si="200"/>
        <v>158.88</v>
      </c>
      <c r="I351" s="155">
        <f t="shared" si="200"/>
        <v>393.6</v>
      </c>
      <c r="J351" s="155"/>
      <c r="K351" s="155"/>
      <c r="L351" s="155">
        <f t="shared" ref="L351" si="206">L350</f>
        <v>613.29</v>
      </c>
      <c r="M351" s="182">
        <f t="shared" si="199"/>
        <v>1</v>
      </c>
      <c r="N351" s="182">
        <f t="shared" si="199"/>
        <v>1.012</v>
      </c>
      <c r="O351" s="767">
        <f t="shared" si="199"/>
        <v>0</v>
      </c>
      <c r="P351" s="179"/>
      <c r="Q351" s="155">
        <f t="shared" si="202"/>
        <v>0</v>
      </c>
      <c r="R351" s="189">
        <f t="shared" si="184"/>
        <v>11127.112039999998</v>
      </c>
    </row>
    <row r="352" spans="1:18" s="92" customFormat="1" ht="28.9" hidden="1" customHeight="1" outlineLevel="2" x14ac:dyDescent="0.2">
      <c r="A352" s="90" t="str">
        <f t="shared" si="203"/>
        <v>МАОУ СОШ № 10 структурное подразделение</v>
      </c>
      <c r="B352" s="178"/>
      <c r="C352" s="178"/>
      <c r="D352" s="178"/>
      <c r="E352" s="178"/>
      <c r="F352" s="155">
        <f t="shared" si="200"/>
        <v>9338.74</v>
      </c>
      <c r="G352" s="155">
        <f t="shared" si="200"/>
        <v>490.65999999999997</v>
      </c>
      <c r="H352" s="155">
        <f t="shared" si="200"/>
        <v>158.88</v>
      </c>
      <c r="I352" s="155">
        <f t="shared" si="200"/>
        <v>393.6</v>
      </c>
      <c r="J352" s="155"/>
      <c r="K352" s="155"/>
      <c r="L352" s="155">
        <f t="shared" ref="L352" si="207">L351</f>
        <v>613.29</v>
      </c>
      <c r="M352" s="182">
        <f t="shared" si="199"/>
        <v>1</v>
      </c>
      <c r="N352" s="182">
        <f t="shared" si="199"/>
        <v>0.82899999999999996</v>
      </c>
      <c r="O352" s="767">
        <f t="shared" si="199"/>
        <v>0</v>
      </c>
      <c r="P352" s="179"/>
      <c r="Q352" s="155">
        <f t="shared" si="202"/>
        <v>0</v>
      </c>
      <c r="R352" s="189">
        <f t="shared" si="184"/>
        <v>9114.9959299999973</v>
      </c>
    </row>
    <row r="353" spans="1:18" s="92" customFormat="1" ht="28.9" hidden="1" customHeight="1" outlineLevel="2" x14ac:dyDescent="0.2">
      <c r="A353" s="90" t="str">
        <f t="shared" si="203"/>
        <v>МАОУ СОШ № 13 структурное подразделение</v>
      </c>
      <c r="B353" s="178"/>
      <c r="C353" s="178"/>
      <c r="D353" s="178"/>
      <c r="E353" s="178"/>
      <c r="F353" s="155">
        <f t="shared" si="200"/>
        <v>9338.74</v>
      </c>
      <c r="G353" s="155">
        <f t="shared" si="200"/>
        <v>490.65999999999997</v>
      </c>
      <c r="H353" s="155">
        <f t="shared" si="200"/>
        <v>158.88</v>
      </c>
      <c r="I353" s="155">
        <f t="shared" si="200"/>
        <v>393.6</v>
      </c>
      <c r="J353" s="155"/>
      <c r="K353" s="155"/>
      <c r="L353" s="155">
        <f t="shared" ref="L353" si="208">L352</f>
        <v>613.29</v>
      </c>
      <c r="M353" s="182">
        <f t="shared" si="199"/>
        <v>1</v>
      </c>
      <c r="N353" s="182">
        <f t="shared" si="199"/>
        <v>1.284</v>
      </c>
      <c r="O353" s="767">
        <f t="shared" si="199"/>
        <v>0</v>
      </c>
      <c r="P353" s="179"/>
      <c r="Q353" s="155">
        <f t="shared" si="202"/>
        <v>0</v>
      </c>
      <c r="R353" s="189">
        <f t="shared" si="184"/>
        <v>14117.798279999997</v>
      </c>
    </row>
    <row r="354" spans="1:18" s="92" customFormat="1" ht="28.9" hidden="1" customHeight="1" outlineLevel="2" x14ac:dyDescent="0.2">
      <c r="A354" s="90" t="str">
        <f t="shared" si="203"/>
        <v>Гимназия № 16 структурное подразделение</v>
      </c>
      <c r="B354" s="178"/>
      <c r="C354" s="178"/>
      <c r="D354" s="178"/>
      <c r="E354" s="178"/>
      <c r="F354" s="155">
        <f t="shared" si="200"/>
        <v>9338.74</v>
      </c>
      <c r="G354" s="155">
        <f t="shared" si="200"/>
        <v>490.65999999999997</v>
      </c>
      <c r="H354" s="155">
        <f t="shared" si="200"/>
        <v>158.88</v>
      </c>
      <c r="I354" s="155">
        <f t="shared" si="200"/>
        <v>393.6</v>
      </c>
      <c r="J354" s="155"/>
      <c r="K354" s="155"/>
      <c r="L354" s="155">
        <f t="shared" ref="L354" si="209">L353</f>
        <v>613.29</v>
      </c>
      <c r="M354" s="182">
        <f t="shared" si="199"/>
        <v>1</v>
      </c>
      <c r="N354" s="182">
        <f t="shared" si="199"/>
        <v>1.2290000000000001</v>
      </c>
      <c r="O354" s="767">
        <f t="shared" si="199"/>
        <v>0</v>
      </c>
      <c r="P354" s="179"/>
      <c r="Q354" s="155">
        <f t="shared" si="202"/>
        <v>0</v>
      </c>
      <c r="R354" s="189">
        <f t="shared" si="184"/>
        <v>13513.063929999998</v>
      </c>
    </row>
    <row r="355" spans="1:18" s="92" customFormat="1" ht="28.9" hidden="1" customHeight="1" outlineLevel="2" x14ac:dyDescent="0.2">
      <c r="A355" s="90" t="str">
        <f t="shared" si="203"/>
        <v>МАОУ ООШ № 17 с кадетскими классами структурное подразделение</v>
      </c>
      <c r="B355" s="178"/>
      <c r="C355" s="178"/>
      <c r="D355" s="178"/>
      <c r="E355" s="178"/>
      <c r="F355" s="155">
        <f t="shared" si="200"/>
        <v>9338.74</v>
      </c>
      <c r="G355" s="155">
        <f t="shared" si="200"/>
        <v>490.65999999999997</v>
      </c>
      <c r="H355" s="155">
        <f t="shared" si="200"/>
        <v>158.88</v>
      </c>
      <c r="I355" s="155">
        <f t="shared" si="200"/>
        <v>393.6</v>
      </c>
      <c r="J355" s="155"/>
      <c r="K355" s="155"/>
      <c r="L355" s="155">
        <f t="shared" ref="L355" si="210">L354</f>
        <v>613.29</v>
      </c>
      <c r="M355" s="182">
        <f t="shared" si="199"/>
        <v>1</v>
      </c>
      <c r="N355" s="182">
        <f t="shared" si="199"/>
        <v>2.5430000000000001</v>
      </c>
      <c r="O355" s="767">
        <f t="shared" si="199"/>
        <v>0</v>
      </c>
      <c r="P355" s="179"/>
      <c r="Q355" s="155">
        <f t="shared" si="202"/>
        <v>0</v>
      </c>
      <c r="R355" s="189">
        <f t="shared" si="184"/>
        <v>27960.717309999996</v>
      </c>
    </row>
    <row r="356" spans="1:18" ht="95.25" hidden="1" customHeight="1" outlineLevel="1" collapsed="1" x14ac:dyDescent="0.2">
      <c r="A356" s="177" t="str">
        <f t="shared" si="203"/>
        <v>Реализация основных общеобразовательных программ дошкольного образования Обучающиеся с ограниченными возможностями здоровья (ОВЗ) От 3 лет до 8 лет Очная группа полного дня</v>
      </c>
      <c r="B356" s="175" t="str">
        <f>B196</f>
        <v>801011О.99.0.БВ24ВЭ62000</v>
      </c>
      <c r="C356" s="175"/>
      <c r="D356" s="175"/>
      <c r="E356" s="175"/>
      <c r="F356" s="176">
        <f>'Общий 2023'!$F$10</f>
        <v>9338.74</v>
      </c>
      <c r="G356" s="176">
        <f>'Общий 2023'!G10</f>
        <v>490.65999999999997</v>
      </c>
      <c r="H356" s="176">
        <f>'Общий 2023'!H10</f>
        <v>158.88</v>
      </c>
      <c r="I356" s="176">
        <f>'Общий 2023'!I10</f>
        <v>393.6</v>
      </c>
      <c r="J356" s="176"/>
      <c r="K356" s="176"/>
      <c r="L356" s="176">
        <f>'Общий 2023'!L10</f>
        <v>521.6</v>
      </c>
      <c r="M356" s="181"/>
      <c r="N356" s="181"/>
      <c r="O356" s="765">
        <f>SUM(O357:O365)</f>
        <v>181</v>
      </c>
      <c r="P356" s="175"/>
      <c r="Q356" s="176">
        <f>SUM(Q357:Q365)</f>
        <v>1980700</v>
      </c>
      <c r="R356" s="186"/>
    </row>
    <row r="357" spans="1:18" s="92" customFormat="1" ht="12.95" hidden="1" customHeight="1" outlineLevel="2" x14ac:dyDescent="0.2">
      <c r="A357" s="90" t="str">
        <f t="shared" si="203"/>
        <v>МАДОУ ЦРР-детский сад № 2</v>
      </c>
      <c r="B357" s="178"/>
      <c r="C357" s="178"/>
      <c r="D357" s="178"/>
      <c r="E357" s="178"/>
      <c r="F357" s="155">
        <f>F356</f>
        <v>9338.74</v>
      </c>
      <c r="G357" s="155">
        <f>G356</f>
        <v>490.65999999999997</v>
      </c>
      <c r="H357" s="155">
        <f>H356</f>
        <v>158.88</v>
      </c>
      <c r="I357" s="155">
        <f>I356</f>
        <v>393.6</v>
      </c>
      <c r="J357" s="155"/>
      <c r="K357" s="155"/>
      <c r="L357" s="155">
        <f>L356</f>
        <v>521.6</v>
      </c>
      <c r="M357" s="182">
        <f t="shared" ref="M357:O365" si="211">M197</f>
        <v>1</v>
      </c>
      <c r="N357" s="182">
        <f t="shared" si="211"/>
        <v>1.0249999999999999</v>
      </c>
      <c r="O357" s="767">
        <f t="shared" si="211"/>
        <v>41</v>
      </c>
      <c r="P357" s="179"/>
      <c r="Q357" s="155">
        <f>ROUND(ROUND((C357+D357+E357+F357+G357+H357+I357+J357+K357+L357)*M357*N357,2)*O357-P357,-2)</f>
        <v>458200</v>
      </c>
      <c r="R357" s="189">
        <f t="shared" ref="R357:R365" si="212">(B357+C357+D357+E357+F357+G357+H357+I357+J357+K357+L357)*M357*N357</f>
        <v>11176.066999999999</v>
      </c>
    </row>
    <row r="358" spans="1:18" s="92" customFormat="1" ht="12.95" hidden="1" customHeight="1" outlineLevel="2" x14ac:dyDescent="0.2">
      <c r="A358" s="90" t="str">
        <f t="shared" si="203"/>
        <v>МАДОУ ЦРР-детский сад № 11</v>
      </c>
      <c r="B358" s="178"/>
      <c r="C358" s="178"/>
      <c r="D358" s="178"/>
      <c r="E358" s="178"/>
      <c r="F358" s="155">
        <f t="shared" ref="F358:F365" si="213">F357</f>
        <v>9338.74</v>
      </c>
      <c r="G358" s="155">
        <f t="shared" ref="G358:G365" si="214">G357</f>
        <v>490.65999999999997</v>
      </c>
      <c r="H358" s="155">
        <f t="shared" ref="H358:H365" si="215">H357</f>
        <v>158.88</v>
      </c>
      <c r="I358" s="155">
        <f t="shared" ref="I358:I365" si="216">I357</f>
        <v>393.6</v>
      </c>
      <c r="J358" s="155"/>
      <c r="K358" s="155"/>
      <c r="L358" s="155">
        <f t="shared" ref="L358:L365" si="217">L357</f>
        <v>521.6</v>
      </c>
      <c r="M358" s="182">
        <f t="shared" si="211"/>
        <v>1</v>
      </c>
      <c r="N358" s="182">
        <f t="shared" si="211"/>
        <v>0.93799999999999994</v>
      </c>
      <c r="O358" s="767">
        <f t="shared" si="211"/>
        <v>34</v>
      </c>
      <c r="P358" s="179"/>
      <c r="Q358" s="155">
        <f t="shared" ref="Q358:Q365" si="218">ROUND(ROUND((C358+D358+E358+F358+G358+H358+I358+J358+K358+L358)*M358*N358,2)*O358-P358,-2)</f>
        <v>347700</v>
      </c>
      <c r="R358" s="189">
        <f t="shared" si="212"/>
        <v>10227.464239999999</v>
      </c>
    </row>
    <row r="359" spans="1:18" s="92" customFormat="1" ht="12.95" hidden="1" customHeight="1" outlineLevel="2" x14ac:dyDescent="0.2">
      <c r="A359" s="90" t="str">
        <f t="shared" si="203"/>
        <v>МАДОУ ЦРР-детский сад № 13</v>
      </c>
      <c r="B359" s="178"/>
      <c r="C359" s="178"/>
      <c r="D359" s="178"/>
      <c r="E359" s="178"/>
      <c r="F359" s="155">
        <f t="shared" si="213"/>
        <v>9338.74</v>
      </c>
      <c r="G359" s="155">
        <f t="shared" si="214"/>
        <v>490.65999999999997</v>
      </c>
      <c r="H359" s="155">
        <f t="shared" si="215"/>
        <v>158.88</v>
      </c>
      <c r="I359" s="155">
        <f t="shared" si="216"/>
        <v>393.6</v>
      </c>
      <c r="J359" s="155"/>
      <c r="K359" s="155"/>
      <c r="L359" s="155">
        <f t="shared" si="217"/>
        <v>521.6</v>
      </c>
      <c r="M359" s="182">
        <f t="shared" si="211"/>
        <v>1</v>
      </c>
      <c r="N359" s="182">
        <f t="shared" si="211"/>
        <v>0.96399999999999997</v>
      </c>
      <c r="O359" s="767">
        <f t="shared" si="211"/>
        <v>30</v>
      </c>
      <c r="P359" s="179"/>
      <c r="Q359" s="155">
        <f t="shared" si="218"/>
        <v>315300</v>
      </c>
      <c r="R359" s="189">
        <f t="shared" si="212"/>
        <v>10510.95472</v>
      </c>
    </row>
    <row r="360" spans="1:18" s="92" customFormat="1" ht="27" hidden="1" customHeight="1" outlineLevel="2" x14ac:dyDescent="0.2">
      <c r="A360" s="90" t="str">
        <f t="shared" si="203"/>
        <v>МАОУ СОШ № 1 структурное подразделение</v>
      </c>
      <c r="B360" s="178"/>
      <c r="C360" s="178"/>
      <c r="D360" s="178"/>
      <c r="E360" s="178"/>
      <c r="F360" s="155">
        <f t="shared" si="213"/>
        <v>9338.74</v>
      </c>
      <c r="G360" s="155">
        <f t="shared" si="214"/>
        <v>490.65999999999997</v>
      </c>
      <c r="H360" s="155">
        <f t="shared" si="215"/>
        <v>158.88</v>
      </c>
      <c r="I360" s="155">
        <f t="shared" si="216"/>
        <v>393.6</v>
      </c>
      <c r="J360" s="155"/>
      <c r="K360" s="155"/>
      <c r="L360" s="155">
        <f t="shared" si="217"/>
        <v>521.6</v>
      </c>
      <c r="M360" s="182">
        <f t="shared" si="211"/>
        <v>1</v>
      </c>
      <c r="N360" s="182">
        <f t="shared" si="211"/>
        <v>0.88800000000000001</v>
      </c>
      <c r="O360" s="767">
        <f t="shared" si="211"/>
        <v>21</v>
      </c>
      <c r="P360" s="179"/>
      <c r="Q360" s="155">
        <f t="shared" si="218"/>
        <v>203300</v>
      </c>
      <c r="R360" s="189">
        <f t="shared" si="212"/>
        <v>9682.2902400000003</v>
      </c>
    </row>
    <row r="361" spans="1:18" s="92" customFormat="1" ht="42" hidden="1" customHeight="1" outlineLevel="2" x14ac:dyDescent="0.2">
      <c r="A361" s="90" t="str">
        <f t="shared" si="203"/>
        <v>МАОУ СОШ № 2 им.М.И.Грибушина структурное подразделение</v>
      </c>
      <c r="B361" s="178"/>
      <c r="C361" s="178"/>
      <c r="D361" s="178"/>
      <c r="E361" s="178"/>
      <c r="F361" s="155">
        <f t="shared" si="213"/>
        <v>9338.74</v>
      </c>
      <c r="G361" s="155">
        <f t="shared" si="214"/>
        <v>490.65999999999997</v>
      </c>
      <c r="H361" s="155">
        <f t="shared" si="215"/>
        <v>158.88</v>
      </c>
      <c r="I361" s="155">
        <f t="shared" si="216"/>
        <v>393.6</v>
      </c>
      <c r="J361" s="155"/>
      <c r="K361" s="155"/>
      <c r="L361" s="155">
        <f t="shared" si="217"/>
        <v>521.6</v>
      </c>
      <c r="M361" s="182">
        <f t="shared" si="211"/>
        <v>1</v>
      </c>
      <c r="N361" s="182">
        <f t="shared" si="211"/>
        <v>1.012</v>
      </c>
      <c r="O361" s="767">
        <f t="shared" si="211"/>
        <v>18</v>
      </c>
      <c r="P361" s="179"/>
      <c r="Q361" s="155">
        <f t="shared" si="218"/>
        <v>198600</v>
      </c>
      <c r="R361" s="189">
        <f t="shared" si="212"/>
        <v>11034.321759999999</v>
      </c>
    </row>
    <row r="362" spans="1:18" s="92" customFormat="1" ht="27" hidden="1" customHeight="1" outlineLevel="2" x14ac:dyDescent="0.2">
      <c r="A362" s="90" t="str">
        <f t="shared" si="203"/>
        <v>МАОУ СОШ № 10 структурное подразделение</v>
      </c>
      <c r="B362" s="178"/>
      <c r="C362" s="178"/>
      <c r="D362" s="178"/>
      <c r="E362" s="178"/>
      <c r="F362" s="155">
        <f t="shared" si="213"/>
        <v>9338.74</v>
      </c>
      <c r="G362" s="155">
        <f t="shared" si="214"/>
        <v>490.65999999999997</v>
      </c>
      <c r="H362" s="155">
        <f t="shared" si="215"/>
        <v>158.88</v>
      </c>
      <c r="I362" s="155">
        <f t="shared" si="216"/>
        <v>393.6</v>
      </c>
      <c r="J362" s="155"/>
      <c r="K362" s="155"/>
      <c r="L362" s="155">
        <f t="shared" si="217"/>
        <v>521.6</v>
      </c>
      <c r="M362" s="182">
        <f t="shared" si="211"/>
        <v>1</v>
      </c>
      <c r="N362" s="182">
        <f t="shared" si="211"/>
        <v>0.82899999999999996</v>
      </c>
      <c r="O362" s="767">
        <f t="shared" si="211"/>
        <v>13</v>
      </c>
      <c r="P362" s="179"/>
      <c r="Q362" s="155">
        <f t="shared" si="218"/>
        <v>117500</v>
      </c>
      <c r="R362" s="189">
        <f t="shared" si="212"/>
        <v>9038.984919999999</v>
      </c>
    </row>
    <row r="363" spans="1:18" s="92" customFormat="1" ht="27.6" hidden="1" customHeight="1" outlineLevel="2" x14ac:dyDescent="0.2">
      <c r="A363" s="90" t="str">
        <f t="shared" si="203"/>
        <v>МАОУ СОШ № 13 структурное подразделение</v>
      </c>
      <c r="B363" s="178"/>
      <c r="C363" s="178"/>
      <c r="D363" s="178"/>
      <c r="E363" s="178"/>
      <c r="F363" s="155">
        <f t="shared" si="213"/>
        <v>9338.74</v>
      </c>
      <c r="G363" s="155">
        <f t="shared" si="214"/>
        <v>490.65999999999997</v>
      </c>
      <c r="H363" s="155">
        <f t="shared" si="215"/>
        <v>158.88</v>
      </c>
      <c r="I363" s="155">
        <f t="shared" si="216"/>
        <v>393.6</v>
      </c>
      <c r="J363" s="155"/>
      <c r="K363" s="155"/>
      <c r="L363" s="155">
        <f t="shared" si="217"/>
        <v>521.6</v>
      </c>
      <c r="M363" s="182">
        <f t="shared" si="211"/>
        <v>1</v>
      </c>
      <c r="N363" s="182">
        <f t="shared" si="211"/>
        <v>1.284</v>
      </c>
      <c r="O363" s="767">
        <f t="shared" si="211"/>
        <v>7</v>
      </c>
      <c r="P363" s="179"/>
      <c r="Q363" s="155">
        <f t="shared" si="218"/>
        <v>98000</v>
      </c>
      <c r="R363" s="189">
        <f t="shared" si="212"/>
        <v>14000.06832</v>
      </c>
    </row>
    <row r="364" spans="1:18" s="92" customFormat="1" ht="30" hidden="1" customHeight="1" outlineLevel="2" x14ac:dyDescent="0.2">
      <c r="A364" s="90" t="str">
        <f t="shared" si="203"/>
        <v>Гимназия № 16 структурное подразделение</v>
      </c>
      <c r="B364" s="178"/>
      <c r="C364" s="178"/>
      <c r="D364" s="178"/>
      <c r="E364" s="178"/>
      <c r="F364" s="155">
        <f t="shared" si="213"/>
        <v>9338.74</v>
      </c>
      <c r="G364" s="155">
        <f t="shared" si="214"/>
        <v>490.65999999999997</v>
      </c>
      <c r="H364" s="155">
        <f t="shared" si="215"/>
        <v>158.88</v>
      </c>
      <c r="I364" s="155">
        <f t="shared" si="216"/>
        <v>393.6</v>
      </c>
      <c r="J364" s="155"/>
      <c r="K364" s="155"/>
      <c r="L364" s="155">
        <f t="shared" si="217"/>
        <v>521.6</v>
      </c>
      <c r="M364" s="182">
        <f t="shared" si="211"/>
        <v>1</v>
      </c>
      <c r="N364" s="182">
        <f t="shared" si="211"/>
        <v>1.2290000000000001</v>
      </c>
      <c r="O364" s="767">
        <f t="shared" si="211"/>
        <v>16</v>
      </c>
      <c r="P364" s="179"/>
      <c r="Q364" s="155">
        <f t="shared" si="218"/>
        <v>214400</v>
      </c>
      <c r="R364" s="189">
        <f t="shared" si="212"/>
        <v>13400.376920000001</v>
      </c>
    </row>
    <row r="365" spans="1:18" s="92" customFormat="1" ht="40.9" hidden="1" customHeight="1" outlineLevel="2" x14ac:dyDescent="0.2">
      <c r="A365" s="90" t="str">
        <f t="shared" si="203"/>
        <v>МАОУ ООШ № 17 с кадетскими классами структурное подразделение</v>
      </c>
      <c r="B365" s="178"/>
      <c r="C365" s="178"/>
      <c r="D365" s="178"/>
      <c r="E365" s="178"/>
      <c r="F365" s="155">
        <f t="shared" si="213"/>
        <v>9338.74</v>
      </c>
      <c r="G365" s="155">
        <f t="shared" si="214"/>
        <v>490.65999999999997</v>
      </c>
      <c r="H365" s="155">
        <f t="shared" si="215"/>
        <v>158.88</v>
      </c>
      <c r="I365" s="155">
        <f t="shared" si="216"/>
        <v>393.6</v>
      </c>
      <c r="J365" s="155"/>
      <c r="K365" s="155"/>
      <c r="L365" s="155">
        <f t="shared" si="217"/>
        <v>521.6</v>
      </c>
      <c r="M365" s="182">
        <f t="shared" si="211"/>
        <v>1</v>
      </c>
      <c r="N365" s="182">
        <f t="shared" si="211"/>
        <v>2.5430000000000001</v>
      </c>
      <c r="O365" s="767">
        <f t="shared" si="211"/>
        <v>1</v>
      </c>
      <c r="P365" s="179"/>
      <c r="Q365" s="155">
        <f t="shared" si="218"/>
        <v>27700</v>
      </c>
      <c r="R365" s="189">
        <f t="shared" si="212"/>
        <v>27727.549640000001</v>
      </c>
    </row>
    <row r="366" spans="1:18" ht="114.6" hidden="1" customHeight="1" outlineLevel="1" collapsed="1" x14ac:dyDescent="0.2">
      <c r="A366" s="177" t="str">
        <f t="shared" si="203"/>
        <v>Реализация основных общеобразовательных программ дошкольного образования Адаптированная образовательная программа От 3 лет до 8 лет Очная группа полного дня</v>
      </c>
      <c r="B366" s="175" t="str">
        <f>B206</f>
        <v>801011О.99.0.БВ24АВ42000</v>
      </c>
      <c r="C366" s="175"/>
      <c r="D366" s="175"/>
      <c r="E366" s="175"/>
      <c r="F366" s="176">
        <f>'Общий 2023'!F11</f>
        <v>9338.74</v>
      </c>
      <c r="G366" s="176">
        <f>'Общий 2023'!G11</f>
        <v>490.65999999999997</v>
      </c>
      <c r="H366" s="176">
        <f>'Общий 2023'!H11</f>
        <v>158.88</v>
      </c>
      <c r="I366" s="176">
        <f>'Общий 2023'!I11</f>
        <v>393.6</v>
      </c>
      <c r="J366" s="176"/>
      <c r="K366" s="176"/>
      <c r="L366" s="176">
        <f>'Общий 2023'!L11</f>
        <v>521.6</v>
      </c>
      <c r="M366" s="181"/>
      <c r="N366" s="181"/>
      <c r="O366" s="765">
        <f>SUM(O367:O375)</f>
        <v>104</v>
      </c>
      <c r="P366" s="175"/>
      <c r="Q366" s="176">
        <f>SUM(Q367:Q375)</f>
        <v>1886000</v>
      </c>
      <c r="R366" s="186"/>
    </row>
    <row r="367" spans="1:18" s="92" customFormat="1" ht="12.95" hidden="1" customHeight="1" outlineLevel="2" x14ac:dyDescent="0.2">
      <c r="A367" s="90" t="str">
        <f t="shared" si="203"/>
        <v>МАДОУ ЦРР-детский сад № 2</v>
      </c>
      <c r="B367" s="178"/>
      <c r="C367" s="178"/>
      <c r="D367" s="178"/>
      <c r="E367" s="178"/>
      <c r="F367" s="155">
        <f>$F$366</f>
        <v>9338.74</v>
      </c>
      <c r="G367" s="155">
        <f>$G$366</f>
        <v>490.65999999999997</v>
      </c>
      <c r="H367" s="155">
        <f>$H$366</f>
        <v>158.88</v>
      </c>
      <c r="I367" s="155">
        <f>$I$366</f>
        <v>393.6</v>
      </c>
      <c r="J367" s="155"/>
      <c r="K367" s="155"/>
      <c r="L367" s="155">
        <f>$L$366</f>
        <v>521.6</v>
      </c>
      <c r="M367" s="182">
        <f t="shared" ref="M367:O375" si="219">M207</f>
        <v>1.7330000000000001</v>
      </c>
      <c r="N367" s="182">
        <f t="shared" si="219"/>
        <v>1.0249999999999999</v>
      </c>
      <c r="O367" s="767">
        <f t="shared" si="219"/>
        <v>0</v>
      </c>
      <c r="P367" s="179"/>
      <c r="Q367" s="155">
        <f>ROUND(ROUND((C367+D367+E367+F367+G367+H367+I367+J367+K367+L367)*M367*N367,2)*O367-P367,-2)</f>
        <v>0</v>
      </c>
      <c r="R367" s="189">
        <f t="shared" ref="R367:R375" si="220">(B367+C367+D367+E367+F367+G367+H367+I367+J367+K367+L367)*M367*N367</f>
        <v>19368.124110999997</v>
      </c>
    </row>
    <row r="368" spans="1:18" s="92" customFormat="1" ht="12.95" hidden="1" customHeight="1" outlineLevel="2" x14ac:dyDescent="0.2">
      <c r="A368" s="90" t="str">
        <f t="shared" si="203"/>
        <v>МАДОУ ЦРР-детский сад № 11</v>
      </c>
      <c r="B368" s="178"/>
      <c r="C368" s="178"/>
      <c r="D368" s="178"/>
      <c r="E368" s="178"/>
      <c r="F368" s="155">
        <f t="shared" ref="F368:F375" si="221">$F$366</f>
        <v>9338.74</v>
      </c>
      <c r="G368" s="155">
        <f t="shared" ref="G368:G375" si="222">$G$366</f>
        <v>490.65999999999997</v>
      </c>
      <c r="H368" s="155">
        <f t="shared" ref="H368:H375" si="223">$H$366</f>
        <v>158.88</v>
      </c>
      <c r="I368" s="155">
        <f t="shared" ref="I368:I375" si="224">$I$366</f>
        <v>393.6</v>
      </c>
      <c r="J368" s="155"/>
      <c r="K368" s="155"/>
      <c r="L368" s="155">
        <f t="shared" ref="L368:L375" si="225">$L$366</f>
        <v>521.6</v>
      </c>
      <c r="M368" s="182">
        <f t="shared" si="219"/>
        <v>1.7330000000000001</v>
      </c>
      <c r="N368" s="182">
        <f t="shared" si="219"/>
        <v>0.93799999999999994</v>
      </c>
      <c r="O368" s="767">
        <f t="shared" si="219"/>
        <v>17</v>
      </c>
      <c r="P368" s="179"/>
      <c r="Q368" s="155">
        <f t="shared" ref="Q368:Q375" si="226">ROUND(ROUND((C368+D368+E368+F368+G368+H368+I368+J368+K368+L368)*M368*N368,2)*O368-P368,-2)</f>
        <v>301300</v>
      </c>
      <c r="R368" s="189">
        <f t="shared" si="220"/>
        <v>17724.195527919997</v>
      </c>
    </row>
    <row r="369" spans="1:19" s="92" customFormat="1" ht="12.95" hidden="1" customHeight="1" outlineLevel="2" x14ac:dyDescent="0.2">
      <c r="A369" s="90" t="str">
        <f t="shared" si="203"/>
        <v>МАДОУ ЦРР-детский сад № 13</v>
      </c>
      <c r="B369" s="178"/>
      <c r="C369" s="178"/>
      <c r="D369" s="178"/>
      <c r="E369" s="178"/>
      <c r="F369" s="155">
        <f t="shared" si="221"/>
        <v>9338.74</v>
      </c>
      <c r="G369" s="155">
        <f t="shared" si="222"/>
        <v>490.65999999999997</v>
      </c>
      <c r="H369" s="155">
        <f t="shared" si="223"/>
        <v>158.88</v>
      </c>
      <c r="I369" s="155">
        <f t="shared" si="224"/>
        <v>393.6</v>
      </c>
      <c r="J369" s="155"/>
      <c r="K369" s="155"/>
      <c r="L369" s="155">
        <f t="shared" si="225"/>
        <v>521.6</v>
      </c>
      <c r="M369" s="182">
        <f t="shared" si="219"/>
        <v>1.7330000000000001</v>
      </c>
      <c r="N369" s="182">
        <f t="shared" si="219"/>
        <v>0.96399999999999997</v>
      </c>
      <c r="O369" s="767">
        <f t="shared" si="219"/>
        <v>87</v>
      </c>
      <c r="P369" s="179"/>
      <c r="Q369" s="155">
        <f t="shared" si="226"/>
        <v>1584700</v>
      </c>
      <c r="R369" s="189">
        <f t="shared" si="220"/>
        <v>18215.48452976</v>
      </c>
    </row>
    <row r="370" spans="1:19" s="92" customFormat="1" ht="28.9" hidden="1" customHeight="1" outlineLevel="2" x14ac:dyDescent="0.2">
      <c r="A370" s="90" t="str">
        <f t="shared" si="203"/>
        <v>МАОУ СОШ № 1 структурное подразделение</v>
      </c>
      <c r="B370" s="178"/>
      <c r="C370" s="178"/>
      <c r="D370" s="178"/>
      <c r="E370" s="178"/>
      <c r="F370" s="155">
        <f t="shared" si="221"/>
        <v>9338.74</v>
      </c>
      <c r="G370" s="155">
        <f t="shared" si="222"/>
        <v>490.65999999999997</v>
      </c>
      <c r="H370" s="155">
        <f t="shared" si="223"/>
        <v>158.88</v>
      </c>
      <c r="I370" s="155">
        <f t="shared" si="224"/>
        <v>393.6</v>
      </c>
      <c r="J370" s="155"/>
      <c r="K370" s="155"/>
      <c r="L370" s="155">
        <f t="shared" si="225"/>
        <v>521.6</v>
      </c>
      <c r="M370" s="182">
        <f t="shared" si="219"/>
        <v>1.7330000000000001</v>
      </c>
      <c r="N370" s="182">
        <f t="shared" si="219"/>
        <v>0.88800000000000001</v>
      </c>
      <c r="O370" s="767">
        <f t="shared" si="219"/>
        <v>0</v>
      </c>
      <c r="P370" s="179"/>
      <c r="Q370" s="155">
        <f t="shared" si="226"/>
        <v>0</v>
      </c>
      <c r="R370" s="189">
        <f t="shared" si="220"/>
        <v>16779.408985919999</v>
      </c>
    </row>
    <row r="371" spans="1:19" s="92" customFormat="1" ht="40.9" hidden="1" customHeight="1" outlineLevel="2" x14ac:dyDescent="0.2">
      <c r="A371" s="90" t="str">
        <f t="shared" si="203"/>
        <v>МАОУ СОШ № 2 им.М.И.Грибушина структурное подразделение</v>
      </c>
      <c r="B371" s="178"/>
      <c r="C371" s="178"/>
      <c r="D371" s="178"/>
      <c r="E371" s="178"/>
      <c r="F371" s="155">
        <f t="shared" si="221"/>
        <v>9338.74</v>
      </c>
      <c r="G371" s="155">
        <f t="shared" si="222"/>
        <v>490.65999999999997</v>
      </c>
      <c r="H371" s="155">
        <f t="shared" si="223"/>
        <v>158.88</v>
      </c>
      <c r="I371" s="155">
        <f t="shared" si="224"/>
        <v>393.6</v>
      </c>
      <c r="J371" s="155"/>
      <c r="K371" s="155"/>
      <c r="L371" s="155">
        <f t="shared" si="225"/>
        <v>521.6</v>
      </c>
      <c r="M371" s="182">
        <f t="shared" si="219"/>
        <v>1.7330000000000001</v>
      </c>
      <c r="N371" s="182">
        <f t="shared" si="219"/>
        <v>1.012</v>
      </c>
      <c r="O371" s="767">
        <f t="shared" si="219"/>
        <v>0</v>
      </c>
      <c r="P371" s="179"/>
      <c r="Q371" s="155">
        <f t="shared" si="226"/>
        <v>0</v>
      </c>
      <c r="R371" s="189">
        <f t="shared" si="220"/>
        <v>19122.479610080001</v>
      </c>
    </row>
    <row r="372" spans="1:19" s="92" customFormat="1" ht="27" hidden="1" customHeight="1" outlineLevel="2" x14ac:dyDescent="0.2">
      <c r="A372" s="90" t="str">
        <f t="shared" si="203"/>
        <v>МАОУ СОШ № 10 структурное подразделение</v>
      </c>
      <c r="B372" s="178"/>
      <c r="C372" s="178"/>
      <c r="D372" s="178"/>
      <c r="E372" s="178"/>
      <c r="F372" s="155">
        <f t="shared" si="221"/>
        <v>9338.74</v>
      </c>
      <c r="G372" s="155">
        <f t="shared" si="222"/>
        <v>490.65999999999997</v>
      </c>
      <c r="H372" s="155">
        <f t="shared" si="223"/>
        <v>158.88</v>
      </c>
      <c r="I372" s="155">
        <f t="shared" si="224"/>
        <v>393.6</v>
      </c>
      <c r="J372" s="155"/>
      <c r="K372" s="155"/>
      <c r="L372" s="155">
        <f t="shared" si="225"/>
        <v>521.6</v>
      </c>
      <c r="M372" s="182">
        <f t="shared" si="219"/>
        <v>1.7330000000000001</v>
      </c>
      <c r="N372" s="182">
        <f t="shared" si="219"/>
        <v>0.82899999999999996</v>
      </c>
      <c r="O372" s="767">
        <f t="shared" si="219"/>
        <v>0</v>
      </c>
      <c r="P372" s="179"/>
      <c r="Q372" s="155">
        <f t="shared" si="226"/>
        <v>0</v>
      </c>
      <c r="R372" s="189">
        <f t="shared" si="220"/>
        <v>15664.56086636</v>
      </c>
    </row>
    <row r="373" spans="1:19" s="92" customFormat="1" ht="27" hidden="1" customHeight="1" outlineLevel="2" x14ac:dyDescent="0.2">
      <c r="A373" s="90" t="str">
        <f t="shared" si="203"/>
        <v>МАОУ СОШ № 13 структурное подразделение</v>
      </c>
      <c r="B373" s="178"/>
      <c r="C373" s="178"/>
      <c r="D373" s="178"/>
      <c r="E373" s="178"/>
      <c r="F373" s="155">
        <f t="shared" si="221"/>
        <v>9338.74</v>
      </c>
      <c r="G373" s="155">
        <f t="shared" si="222"/>
        <v>490.65999999999997</v>
      </c>
      <c r="H373" s="155">
        <f t="shared" si="223"/>
        <v>158.88</v>
      </c>
      <c r="I373" s="155">
        <f t="shared" si="224"/>
        <v>393.6</v>
      </c>
      <c r="J373" s="155"/>
      <c r="K373" s="155"/>
      <c r="L373" s="155">
        <f t="shared" si="225"/>
        <v>521.6</v>
      </c>
      <c r="M373" s="182">
        <f t="shared" si="219"/>
        <v>1.7330000000000001</v>
      </c>
      <c r="N373" s="182">
        <f t="shared" si="219"/>
        <v>1.284</v>
      </c>
      <c r="O373" s="767">
        <f t="shared" si="219"/>
        <v>0</v>
      </c>
      <c r="P373" s="179"/>
      <c r="Q373" s="155">
        <f t="shared" si="226"/>
        <v>0</v>
      </c>
      <c r="R373" s="189">
        <f t="shared" si="220"/>
        <v>24262.11839856</v>
      </c>
    </row>
    <row r="374" spans="1:19" s="92" customFormat="1" ht="27" hidden="1" customHeight="1" outlineLevel="2" x14ac:dyDescent="0.2">
      <c r="A374" s="90" t="str">
        <f t="shared" si="203"/>
        <v>Гимназия № 16 структурное подразделение</v>
      </c>
      <c r="B374" s="178"/>
      <c r="C374" s="178"/>
      <c r="D374" s="178"/>
      <c r="E374" s="178"/>
      <c r="F374" s="155">
        <f t="shared" si="221"/>
        <v>9338.74</v>
      </c>
      <c r="G374" s="155">
        <f t="shared" si="222"/>
        <v>490.65999999999997</v>
      </c>
      <c r="H374" s="155">
        <f t="shared" si="223"/>
        <v>158.88</v>
      </c>
      <c r="I374" s="155">
        <f t="shared" si="224"/>
        <v>393.6</v>
      </c>
      <c r="J374" s="155"/>
      <c r="K374" s="155"/>
      <c r="L374" s="155">
        <f t="shared" si="225"/>
        <v>521.6</v>
      </c>
      <c r="M374" s="182">
        <f t="shared" si="219"/>
        <v>1.7330000000000001</v>
      </c>
      <c r="N374" s="182">
        <f t="shared" si="219"/>
        <v>1.2290000000000001</v>
      </c>
      <c r="O374" s="767">
        <f t="shared" si="219"/>
        <v>0</v>
      </c>
      <c r="P374" s="179"/>
      <c r="Q374" s="155">
        <f t="shared" si="226"/>
        <v>0</v>
      </c>
      <c r="R374" s="189">
        <f t="shared" si="220"/>
        <v>23222.853202360002</v>
      </c>
    </row>
    <row r="375" spans="1:19" s="92" customFormat="1" ht="42" hidden="1" customHeight="1" outlineLevel="2" x14ac:dyDescent="0.2">
      <c r="A375" s="90" t="str">
        <f t="shared" si="203"/>
        <v>МАОУ ООШ № 17 с кадетскими классами структурное подразделение</v>
      </c>
      <c r="B375" s="178"/>
      <c r="C375" s="178"/>
      <c r="D375" s="178"/>
      <c r="E375" s="178"/>
      <c r="F375" s="155">
        <f t="shared" si="221"/>
        <v>9338.74</v>
      </c>
      <c r="G375" s="155">
        <f t="shared" si="222"/>
        <v>490.65999999999997</v>
      </c>
      <c r="H375" s="155">
        <f t="shared" si="223"/>
        <v>158.88</v>
      </c>
      <c r="I375" s="155">
        <f t="shared" si="224"/>
        <v>393.6</v>
      </c>
      <c r="J375" s="155"/>
      <c r="K375" s="155"/>
      <c r="L375" s="155">
        <f t="shared" si="225"/>
        <v>521.6</v>
      </c>
      <c r="M375" s="182">
        <f t="shared" si="219"/>
        <v>1.7330000000000001</v>
      </c>
      <c r="N375" s="182">
        <f t="shared" si="219"/>
        <v>2.5430000000000001</v>
      </c>
      <c r="O375" s="767">
        <f t="shared" si="219"/>
        <v>0</v>
      </c>
      <c r="P375" s="179"/>
      <c r="Q375" s="155">
        <f t="shared" si="226"/>
        <v>0</v>
      </c>
      <c r="R375" s="189">
        <f t="shared" si="220"/>
        <v>48051.843526120007</v>
      </c>
    </row>
    <row r="376" spans="1:19" ht="55.5" hidden="1" customHeight="1" outlineLevel="1" collapsed="1" x14ac:dyDescent="0.2">
      <c r="A376" s="173" t="str">
        <f t="shared" si="203"/>
        <v>Присмотр и уход Физические лица за исключением льготных категорий От 1 года до 3 лет Группа полного дня</v>
      </c>
      <c r="B376" s="175" t="str">
        <f>B216</f>
        <v>853211О.99.0.БВ19АА50000</v>
      </c>
      <c r="C376" s="175"/>
      <c r="D376" s="176">
        <f>'Общий 2023'!D13</f>
        <v>30162.2</v>
      </c>
      <c r="E376" s="176"/>
      <c r="F376" s="176"/>
      <c r="G376" s="176"/>
      <c r="H376" s="176"/>
      <c r="I376" s="176"/>
      <c r="J376" s="176"/>
      <c r="K376" s="176"/>
      <c r="L376" s="176">
        <f>'Общий 2023'!L13</f>
        <v>695.3599999999999</v>
      </c>
      <c r="M376" s="175"/>
      <c r="N376" s="175"/>
      <c r="O376" s="768">
        <f>SUM(O377:O385)</f>
        <v>499</v>
      </c>
      <c r="P376" s="176">
        <f>SUM(P377:P385)</f>
        <v>12695200</v>
      </c>
      <c r="Q376" s="176">
        <f>SUM(Q377:Q385)</f>
        <v>2702800</v>
      </c>
    </row>
    <row r="377" spans="1:19" ht="12.95" hidden="1" customHeight="1" outlineLevel="2" x14ac:dyDescent="0.2">
      <c r="A377" s="90" t="str">
        <f t="shared" si="203"/>
        <v>МАДОУ ЦРР-детский сад № 2</v>
      </c>
      <c r="B377" s="166"/>
      <c r="C377" s="166"/>
      <c r="D377" s="155">
        <f>$D$376</f>
        <v>30162.2</v>
      </c>
      <c r="E377" s="166"/>
      <c r="F377" s="166"/>
      <c r="G377" s="166"/>
      <c r="H377" s="166"/>
      <c r="I377" s="166"/>
      <c r="J377" s="166"/>
      <c r="K377" s="166"/>
      <c r="L377" s="155">
        <f>$L$376</f>
        <v>695.3599999999999</v>
      </c>
      <c r="M377" s="166">
        <f t="shared" ref="M377:P385" si="227">M217</f>
        <v>1</v>
      </c>
      <c r="N377" s="166">
        <f t="shared" si="227"/>
        <v>1</v>
      </c>
      <c r="O377" s="766">
        <f t="shared" si="227"/>
        <v>53</v>
      </c>
      <c r="P377" s="155">
        <f t="shared" si="227"/>
        <v>1348400</v>
      </c>
      <c r="Q377" s="155">
        <f>ROUND(ROUND((C377+D377+E377+F377+G377+H377+I377+J377+K377+L377)*M377*N377,2)*O377-P377,-2)</f>
        <v>287100</v>
      </c>
      <c r="R377" s="189">
        <f>(B377+C377+D377+E377+F377+G377+H377+I377+J377+K377+L377-'Питание норматив'!$H$40)*M377*N377</f>
        <v>1711.5600000000013</v>
      </c>
      <c r="S377" s="189"/>
    </row>
    <row r="378" spans="1:19" ht="12.95" hidden="1" customHeight="1" outlineLevel="2" x14ac:dyDescent="0.2">
      <c r="A378" s="90" t="str">
        <f t="shared" si="203"/>
        <v>МАДОУ ЦРР-детский сад № 11</v>
      </c>
      <c r="B378" s="166"/>
      <c r="C378" s="166"/>
      <c r="D378" s="155">
        <f t="shared" ref="D378:D385" si="228">$D$376</f>
        <v>30162.2</v>
      </c>
      <c r="E378" s="166"/>
      <c r="F378" s="166"/>
      <c r="G378" s="166"/>
      <c r="H378" s="166"/>
      <c r="I378" s="166"/>
      <c r="J378" s="166"/>
      <c r="K378" s="166"/>
      <c r="L378" s="155">
        <f t="shared" ref="L378:L385" si="229">$L$376</f>
        <v>695.3599999999999</v>
      </c>
      <c r="M378" s="560">
        <f t="shared" si="227"/>
        <v>1</v>
      </c>
      <c r="N378" s="560">
        <f t="shared" si="227"/>
        <v>1</v>
      </c>
      <c r="O378" s="766">
        <f t="shared" si="227"/>
        <v>94</v>
      </c>
      <c r="P378" s="155">
        <f t="shared" si="227"/>
        <v>2391500</v>
      </c>
      <c r="Q378" s="155">
        <f t="shared" ref="Q378:Q385" si="230">ROUND(ROUND((C378+D378+E378+F378+G378+H378+I378+J378+K378+L378)*M378*N378,2)*O378-P378,-2)</f>
        <v>509100</v>
      </c>
      <c r="R378" s="189">
        <f>(B378+C378+D378+E378+F378+G378+H378+I378+J378+K378+L378-'Питание норматив'!$H$40)*M378*N378</f>
        <v>1711.5600000000013</v>
      </c>
      <c r="S378" s="189"/>
    </row>
    <row r="379" spans="1:19" ht="12.95" hidden="1" customHeight="1" outlineLevel="2" x14ac:dyDescent="0.2">
      <c r="A379" s="90" t="str">
        <f t="shared" si="203"/>
        <v>МАДОУ ЦРР-детский сад № 13</v>
      </c>
      <c r="B379" s="166"/>
      <c r="C379" s="166"/>
      <c r="D379" s="155">
        <f t="shared" si="228"/>
        <v>30162.2</v>
      </c>
      <c r="E379" s="166"/>
      <c r="F379" s="166"/>
      <c r="G379" s="166"/>
      <c r="H379" s="166"/>
      <c r="I379" s="166"/>
      <c r="J379" s="166"/>
      <c r="K379" s="166"/>
      <c r="L379" s="155">
        <f t="shared" si="229"/>
        <v>695.3599999999999</v>
      </c>
      <c r="M379" s="560">
        <f t="shared" si="227"/>
        <v>1</v>
      </c>
      <c r="N379" s="560">
        <f t="shared" si="227"/>
        <v>1</v>
      </c>
      <c r="O379" s="766">
        <f t="shared" si="227"/>
        <v>141</v>
      </c>
      <c r="P379" s="155">
        <f t="shared" si="227"/>
        <v>3587200</v>
      </c>
      <c r="Q379" s="155">
        <f t="shared" si="230"/>
        <v>763700</v>
      </c>
      <c r="R379" s="189">
        <f>(B379+C379+D379+E379+F379+G379+H379+I379+J379+K379+L379-'Питание норматив'!$H$40)*M379*N379</f>
        <v>1711.5600000000013</v>
      </c>
      <c r="S379" s="189"/>
    </row>
    <row r="380" spans="1:19" ht="26.45" hidden="1" customHeight="1" outlineLevel="2" x14ac:dyDescent="0.2">
      <c r="A380" s="90" t="str">
        <f t="shared" si="203"/>
        <v>МАОУ СОШ № 1 структурное подразделение</v>
      </c>
      <c r="B380" s="166"/>
      <c r="C380" s="166"/>
      <c r="D380" s="155">
        <f t="shared" si="228"/>
        <v>30162.2</v>
      </c>
      <c r="E380" s="166"/>
      <c r="F380" s="166"/>
      <c r="G380" s="166"/>
      <c r="H380" s="166"/>
      <c r="I380" s="166"/>
      <c r="J380" s="166"/>
      <c r="K380" s="166"/>
      <c r="L380" s="155">
        <f t="shared" si="229"/>
        <v>695.3599999999999</v>
      </c>
      <c r="M380" s="560">
        <f t="shared" si="227"/>
        <v>1</v>
      </c>
      <c r="N380" s="560">
        <f t="shared" si="227"/>
        <v>1</v>
      </c>
      <c r="O380" s="766">
        <f t="shared" si="227"/>
        <v>35</v>
      </c>
      <c r="P380" s="155">
        <f t="shared" si="227"/>
        <v>890400</v>
      </c>
      <c r="Q380" s="155">
        <f t="shared" si="230"/>
        <v>189600</v>
      </c>
      <c r="R380" s="189">
        <f>(B380+C380+D380+E380+F380+G380+H380+I380+J380+K380+L380-'Питание норматив'!$H$40)*M380*N380</f>
        <v>1711.5600000000013</v>
      </c>
      <c r="S380" s="189"/>
    </row>
    <row r="381" spans="1:19" ht="40.15" hidden="1" customHeight="1" outlineLevel="2" x14ac:dyDescent="0.2">
      <c r="A381" s="90" t="str">
        <f t="shared" ref="A381:A412" si="231">A221</f>
        <v>МАОУ СОШ № 2 им.М.И.Грибушина структурное подразделение</v>
      </c>
      <c r="B381" s="349"/>
      <c r="C381" s="349"/>
      <c r="D381" s="155">
        <f t="shared" si="228"/>
        <v>30162.2</v>
      </c>
      <c r="E381" s="349"/>
      <c r="F381" s="349"/>
      <c r="G381" s="349"/>
      <c r="H381" s="349"/>
      <c r="I381" s="349"/>
      <c r="J381" s="349"/>
      <c r="K381" s="349"/>
      <c r="L381" s="155">
        <f t="shared" si="229"/>
        <v>695.3599999999999</v>
      </c>
      <c r="M381" s="560">
        <f t="shared" si="227"/>
        <v>1</v>
      </c>
      <c r="N381" s="560">
        <f t="shared" si="227"/>
        <v>1</v>
      </c>
      <c r="O381" s="766">
        <f t="shared" si="227"/>
        <v>53</v>
      </c>
      <c r="P381" s="155">
        <f t="shared" si="227"/>
        <v>1348400</v>
      </c>
      <c r="Q381" s="155">
        <f t="shared" si="230"/>
        <v>287100</v>
      </c>
      <c r="R381" s="189">
        <f>(B381+C381+D381+E381+F381+G381+H381+I381+J381+K381+L381-'Питание норматив'!$H$40)*M381*N381</f>
        <v>1711.5600000000013</v>
      </c>
      <c r="S381" s="189"/>
    </row>
    <row r="382" spans="1:19" ht="26.45" hidden="1" customHeight="1" outlineLevel="2" x14ac:dyDescent="0.2">
      <c r="A382" s="90" t="str">
        <f t="shared" si="231"/>
        <v>МАОУ СОШ № 10 структурное подразделение</v>
      </c>
      <c r="B382" s="166"/>
      <c r="C382" s="166"/>
      <c r="D382" s="155">
        <f t="shared" si="228"/>
        <v>30162.2</v>
      </c>
      <c r="E382" s="166"/>
      <c r="F382" s="166"/>
      <c r="G382" s="166"/>
      <c r="H382" s="166"/>
      <c r="I382" s="166"/>
      <c r="J382" s="166"/>
      <c r="K382" s="166"/>
      <c r="L382" s="155">
        <f t="shared" si="229"/>
        <v>695.3599999999999</v>
      </c>
      <c r="M382" s="560">
        <f t="shared" si="227"/>
        <v>1</v>
      </c>
      <c r="N382" s="560">
        <f t="shared" si="227"/>
        <v>1</v>
      </c>
      <c r="O382" s="766">
        <f t="shared" si="227"/>
        <v>21</v>
      </c>
      <c r="P382" s="155">
        <f t="shared" si="227"/>
        <v>534300</v>
      </c>
      <c r="Q382" s="155">
        <f t="shared" si="230"/>
        <v>113700</v>
      </c>
      <c r="R382" s="189">
        <f>(B382+C382+D382+E382+F382+G382+H382+I382+J382+K382+L382-'Питание норматив'!$H$40)*M382*N382</f>
        <v>1711.5600000000013</v>
      </c>
      <c r="S382" s="189"/>
    </row>
    <row r="383" spans="1:19" ht="27.6" hidden="1" customHeight="1" outlineLevel="2" x14ac:dyDescent="0.2">
      <c r="A383" s="90" t="str">
        <f t="shared" si="231"/>
        <v>МАОУ СОШ № 13 структурное подразделение</v>
      </c>
      <c r="B383" s="166"/>
      <c r="C383" s="166"/>
      <c r="D383" s="155">
        <f t="shared" si="228"/>
        <v>30162.2</v>
      </c>
      <c r="E383" s="166"/>
      <c r="F383" s="166"/>
      <c r="G383" s="166"/>
      <c r="H383" s="166"/>
      <c r="I383" s="166"/>
      <c r="J383" s="166"/>
      <c r="K383" s="166"/>
      <c r="L383" s="155">
        <f t="shared" si="229"/>
        <v>695.3599999999999</v>
      </c>
      <c r="M383" s="560">
        <f t="shared" si="227"/>
        <v>1</v>
      </c>
      <c r="N383" s="560">
        <f t="shared" si="227"/>
        <v>1</v>
      </c>
      <c r="O383" s="766">
        <f t="shared" si="227"/>
        <v>32</v>
      </c>
      <c r="P383" s="155">
        <f t="shared" si="227"/>
        <v>814100</v>
      </c>
      <c r="Q383" s="155">
        <f t="shared" si="230"/>
        <v>173300</v>
      </c>
      <c r="R383" s="189">
        <f>(B383+C383+D383+E383+F383+G383+H383+I383+J383+K383+L383-'Питание норматив'!$H$40)*M383*N383</f>
        <v>1711.5600000000013</v>
      </c>
      <c r="S383" s="189"/>
    </row>
    <row r="384" spans="1:19" ht="27" hidden="1" customHeight="1" outlineLevel="2" x14ac:dyDescent="0.2">
      <c r="A384" s="90" t="str">
        <f t="shared" si="231"/>
        <v>Гимназия № 16 структурное подразделение</v>
      </c>
      <c r="B384" s="166"/>
      <c r="C384" s="166"/>
      <c r="D384" s="155">
        <f t="shared" si="228"/>
        <v>30162.2</v>
      </c>
      <c r="E384" s="166"/>
      <c r="F384" s="166"/>
      <c r="G384" s="166"/>
      <c r="H384" s="166"/>
      <c r="I384" s="166"/>
      <c r="J384" s="166"/>
      <c r="K384" s="166"/>
      <c r="L384" s="155">
        <f t="shared" si="229"/>
        <v>695.3599999999999</v>
      </c>
      <c r="M384" s="560">
        <f t="shared" si="227"/>
        <v>1</v>
      </c>
      <c r="N384" s="560">
        <f t="shared" si="227"/>
        <v>1</v>
      </c>
      <c r="O384" s="766">
        <f t="shared" si="227"/>
        <v>53</v>
      </c>
      <c r="P384" s="155">
        <f t="shared" si="227"/>
        <v>1348400</v>
      </c>
      <c r="Q384" s="155">
        <f t="shared" si="230"/>
        <v>287100</v>
      </c>
      <c r="R384" s="189">
        <f>(B384+C384+D384+E384+F384+G384+H384+I384+J384+K384+L384-'Питание норматив'!$H$40)*M384*N384</f>
        <v>1711.5600000000013</v>
      </c>
      <c r="S384" s="189"/>
    </row>
    <row r="385" spans="1:19" ht="42.6" hidden="1" customHeight="1" outlineLevel="2" x14ac:dyDescent="0.2">
      <c r="A385" s="90" t="str">
        <f t="shared" si="231"/>
        <v>МАОУ ООШ № 17 с кадетскими классами структурное подразделение</v>
      </c>
      <c r="B385" s="166"/>
      <c r="C385" s="166"/>
      <c r="D385" s="155">
        <f t="shared" si="228"/>
        <v>30162.2</v>
      </c>
      <c r="E385" s="166"/>
      <c r="F385" s="166"/>
      <c r="G385" s="166"/>
      <c r="H385" s="166"/>
      <c r="I385" s="166"/>
      <c r="J385" s="166"/>
      <c r="K385" s="166"/>
      <c r="L385" s="155">
        <f t="shared" si="229"/>
        <v>695.3599999999999</v>
      </c>
      <c r="M385" s="560">
        <f t="shared" si="227"/>
        <v>1</v>
      </c>
      <c r="N385" s="560">
        <f t="shared" si="227"/>
        <v>1</v>
      </c>
      <c r="O385" s="766">
        <f t="shared" si="227"/>
        <v>17</v>
      </c>
      <c r="P385" s="155">
        <f t="shared" si="227"/>
        <v>432500</v>
      </c>
      <c r="Q385" s="155">
        <f t="shared" si="230"/>
        <v>92100</v>
      </c>
      <c r="R385" s="189">
        <f>(B385+C385+D385+E385+F385+G385+H385+I385+J385+K385+L385-'Питание норматив'!$H$40)*M385*N385</f>
        <v>1711.5600000000013</v>
      </c>
      <c r="S385" s="189"/>
    </row>
    <row r="386" spans="1:19" ht="55.5" hidden="1" customHeight="1" outlineLevel="1" collapsed="1" x14ac:dyDescent="0.2">
      <c r="A386" s="173" t="str">
        <f t="shared" si="231"/>
        <v>Присмотр и уход Физические лица льготных категорий, определяемых учредителем От 3 лет до 8 лет группа полного дня</v>
      </c>
      <c r="B386" s="562" t="s">
        <v>393</v>
      </c>
      <c r="C386" s="175"/>
      <c r="D386" s="176">
        <f>'Общий 2023'!D14</f>
        <v>30162.2</v>
      </c>
      <c r="E386" s="176"/>
      <c r="F386" s="176"/>
      <c r="G386" s="176"/>
      <c r="H386" s="176"/>
      <c r="I386" s="176"/>
      <c r="J386" s="176"/>
      <c r="K386" s="176"/>
      <c r="L386" s="176">
        <f>'Общий 2023'!L14</f>
        <v>695.3599999999999</v>
      </c>
      <c r="M386" s="175"/>
      <c r="N386" s="175"/>
      <c r="O386" s="768">
        <f>SUM(O387:O395)</f>
        <v>1</v>
      </c>
      <c r="P386" s="176">
        <f>SUM(P387:P395)</f>
        <v>12700</v>
      </c>
      <c r="Q386" s="176">
        <f>SUM(Q387:Q395)</f>
        <v>18200</v>
      </c>
    </row>
    <row r="387" spans="1:19" ht="12.95" hidden="1" customHeight="1" outlineLevel="2" x14ac:dyDescent="0.2">
      <c r="A387" s="90" t="str">
        <f t="shared" si="231"/>
        <v>МАДОУ ЦРР-детский сад № 2</v>
      </c>
      <c r="B387" s="560"/>
      <c r="C387" s="560"/>
      <c r="D387" s="155">
        <f>$D$386</f>
        <v>30162.2</v>
      </c>
      <c r="E387" s="560"/>
      <c r="F387" s="560"/>
      <c r="G387" s="560"/>
      <c r="H387" s="560"/>
      <c r="I387" s="560"/>
      <c r="J387" s="560"/>
      <c r="K387" s="560"/>
      <c r="L387" s="155">
        <f>$L$386</f>
        <v>695.3599999999999</v>
      </c>
      <c r="M387" s="560">
        <f t="shared" ref="M387:P395" si="232">M227</f>
        <v>1</v>
      </c>
      <c r="N387" s="560">
        <f t="shared" si="232"/>
        <v>1</v>
      </c>
      <c r="O387" s="766">
        <f t="shared" si="232"/>
        <v>0</v>
      </c>
      <c r="P387" s="155">
        <f t="shared" si="232"/>
        <v>0</v>
      </c>
      <c r="Q387" s="155">
        <f>ROUND(ROUND((C387+D387+E387+F387+G387+H387+I387+J387+K387+L387)*M387*N387,2)*O387-P387,-2)</f>
        <v>0</v>
      </c>
      <c r="R387" s="189">
        <f>(B387+C387+D387+E387+F387+G387+H387+I387+J387+K387+L387-'Питание норматив'!$H$40)*M387*N387</f>
        <v>1711.5600000000013</v>
      </c>
      <c r="S387" s="186"/>
    </row>
    <row r="388" spans="1:19" ht="12.95" hidden="1" customHeight="1" outlineLevel="2" x14ac:dyDescent="0.2">
      <c r="A388" s="90" t="str">
        <f t="shared" si="231"/>
        <v>МАДОУ ЦРР-детский сад № 11</v>
      </c>
      <c r="B388" s="560"/>
      <c r="C388" s="560"/>
      <c r="D388" s="155">
        <f t="shared" ref="D388:D395" si="233">$D$386</f>
        <v>30162.2</v>
      </c>
      <c r="E388" s="560"/>
      <c r="F388" s="560"/>
      <c r="G388" s="560"/>
      <c r="H388" s="560"/>
      <c r="I388" s="560"/>
      <c r="J388" s="560"/>
      <c r="K388" s="560"/>
      <c r="L388" s="155">
        <f t="shared" ref="L388:L395" si="234">$L$386</f>
        <v>695.3599999999999</v>
      </c>
      <c r="M388" s="560">
        <f t="shared" si="232"/>
        <v>1</v>
      </c>
      <c r="N388" s="560">
        <f t="shared" si="232"/>
        <v>1</v>
      </c>
      <c r="O388" s="766">
        <f t="shared" si="232"/>
        <v>0</v>
      </c>
      <c r="P388" s="155">
        <f t="shared" si="232"/>
        <v>0</v>
      </c>
      <c r="Q388" s="155">
        <f t="shared" ref="Q388:Q395" si="235">ROUND(ROUND((C388+D388+E388+F388+G388+H388+I388+J388+K388+L388)*M388*N388,2)*O388-P388,-2)</f>
        <v>0</v>
      </c>
      <c r="R388" s="189">
        <f>(B388+C388+D388+E388+F388+G388+H388+I388+J388+K388+L388-'Питание норматив'!$H$40)*M388*N388</f>
        <v>1711.5600000000013</v>
      </c>
      <c r="S388" s="186"/>
    </row>
    <row r="389" spans="1:19" ht="12.95" hidden="1" customHeight="1" outlineLevel="2" x14ac:dyDescent="0.2">
      <c r="A389" s="90" t="str">
        <f t="shared" si="231"/>
        <v>МАДОУ ЦРР-детский сад № 13</v>
      </c>
      <c r="B389" s="560"/>
      <c r="C389" s="560"/>
      <c r="D389" s="155">
        <f t="shared" si="233"/>
        <v>30162.2</v>
      </c>
      <c r="E389" s="560"/>
      <c r="F389" s="560"/>
      <c r="G389" s="560"/>
      <c r="H389" s="560"/>
      <c r="I389" s="560"/>
      <c r="J389" s="560"/>
      <c r="K389" s="560"/>
      <c r="L389" s="155">
        <f t="shared" si="234"/>
        <v>695.3599999999999</v>
      </c>
      <c r="M389" s="560">
        <f t="shared" si="232"/>
        <v>1</v>
      </c>
      <c r="N389" s="560">
        <f t="shared" si="232"/>
        <v>1</v>
      </c>
      <c r="O389" s="766">
        <f t="shared" si="232"/>
        <v>0</v>
      </c>
      <c r="P389" s="155">
        <f t="shared" si="232"/>
        <v>0</v>
      </c>
      <c r="Q389" s="155">
        <f t="shared" si="235"/>
        <v>0</v>
      </c>
      <c r="R389" s="189">
        <f>(B389+C389+D389+E389+F389+G389+H389+I389+J389+K389+L389-'Питание норматив'!$H$40)*M389*N389</f>
        <v>1711.5600000000013</v>
      </c>
      <c r="S389" s="186"/>
    </row>
    <row r="390" spans="1:19" ht="26.45" hidden="1" customHeight="1" outlineLevel="2" x14ac:dyDescent="0.2">
      <c r="A390" s="90" t="str">
        <f t="shared" si="231"/>
        <v>МАОУ СОШ № 1 структурное подразделение</v>
      </c>
      <c r="B390" s="560"/>
      <c r="C390" s="560"/>
      <c r="D390" s="155">
        <f t="shared" si="233"/>
        <v>30162.2</v>
      </c>
      <c r="E390" s="560"/>
      <c r="F390" s="560"/>
      <c r="G390" s="560"/>
      <c r="H390" s="560"/>
      <c r="I390" s="560"/>
      <c r="J390" s="560"/>
      <c r="K390" s="560"/>
      <c r="L390" s="155">
        <f t="shared" si="234"/>
        <v>695.3599999999999</v>
      </c>
      <c r="M390" s="560">
        <f t="shared" si="232"/>
        <v>1</v>
      </c>
      <c r="N390" s="560">
        <f t="shared" si="232"/>
        <v>1</v>
      </c>
      <c r="O390" s="766">
        <f t="shared" si="232"/>
        <v>1</v>
      </c>
      <c r="P390" s="155">
        <f t="shared" si="232"/>
        <v>12700</v>
      </c>
      <c r="Q390" s="155">
        <f t="shared" si="235"/>
        <v>18200</v>
      </c>
      <c r="R390" s="189">
        <f>(B390+C390+D390+E390+F390+G390+H390+I390+J390+K390+L390-'Питание норматив'!$H$40)*M390*N390</f>
        <v>1711.5600000000013</v>
      </c>
      <c r="S390" s="186"/>
    </row>
    <row r="391" spans="1:19" ht="40.15" hidden="1" customHeight="1" outlineLevel="2" x14ac:dyDescent="0.2">
      <c r="A391" s="90" t="str">
        <f t="shared" si="231"/>
        <v>МАОУ СОШ № 2 им.М.И.Грибушина структурное подразделение</v>
      </c>
      <c r="B391" s="560"/>
      <c r="C391" s="560"/>
      <c r="D391" s="155">
        <f t="shared" si="233"/>
        <v>30162.2</v>
      </c>
      <c r="E391" s="560"/>
      <c r="F391" s="560"/>
      <c r="G391" s="560"/>
      <c r="H391" s="560"/>
      <c r="I391" s="560"/>
      <c r="J391" s="560"/>
      <c r="K391" s="560"/>
      <c r="L391" s="155">
        <f t="shared" si="234"/>
        <v>695.3599999999999</v>
      </c>
      <c r="M391" s="560">
        <f t="shared" si="232"/>
        <v>1</v>
      </c>
      <c r="N391" s="560">
        <f t="shared" si="232"/>
        <v>1</v>
      </c>
      <c r="O391" s="766">
        <f t="shared" si="232"/>
        <v>0</v>
      </c>
      <c r="P391" s="155">
        <f t="shared" si="232"/>
        <v>0</v>
      </c>
      <c r="Q391" s="155">
        <f t="shared" si="235"/>
        <v>0</v>
      </c>
      <c r="R391" s="189">
        <f>(B391+C391+D391+E391+F391+G391+H391+I391+J391+K391+L391-'Питание норматив'!$H$40)*M391*N391</f>
        <v>1711.5600000000013</v>
      </c>
      <c r="S391" s="186"/>
    </row>
    <row r="392" spans="1:19" ht="26.45" hidden="1" customHeight="1" outlineLevel="2" x14ac:dyDescent="0.2">
      <c r="A392" s="90" t="str">
        <f t="shared" si="231"/>
        <v>МАОУ СОШ № 10 структурное подразделение</v>
      </c>
      <c r="B392" s="560"/>
      <c r="C392" s="560"/>
      <c r="D392" s="155">
        <f t="shared" si="233"/>
        <v>30162.2</v>
      </c>
      <c r="E392" s="560"/>
      <c r="F392" s="560"/>
      <c r="G392" s="560"/>
      <c r="H392" s="560"/>
      <c r="I392" s="560"/>
      <c r="J392" s="560"/>
      <c r="K392" s="560"/>
      <c r="L392" s="155">
        <f t="shared" si="234"/>
        <v>695.3599999999999</v>
      </c>
      <c r="M392" s="560">
        <f t="shared" si="232"/>
        <v>1</v>
      </c>
      <c r="N392" s="560">
        <f t="shared" si="232"/>
        <v>1</v>
      </c>
      <c r="O392" s="766">
        <f t="shared" si="232"/>
        <v>0</v>
      </c>
      <c r="P392" s="155">
        <f t="shared" si="232"/>
        <v>0</v>
      </c>
      <c r="Q392" s="155">
        <f t="shared" si="235"/>
        <v>0</v>
      </c>
      <c r="R392" s="189">
        <f>(B392+C392+D392+E392+F392+G392+H392+I392+J392+K392+L392-'Питание норматив'!$H$40)*M392*N392</f>
        <v>1711.5600000000013</v>
      </c>
      <c r="S392" s="186"/>
    </row>
    <row r="393" spans="1:19" ht="27.6" hidden="1" customHeight="1" outlineLevel="2" x14ac:dyDescent="0.2">
      <c r="A393" s="90" t="str">
        <f t="shared" si="231"/>
        <v>МАОУ СОШ № 13 структурное подразделение</v>
      </c>
      <c r="B393" s="560"/>
      <c r="C393" s="560"/>
      <c r="D393" s="155">
        <f t="shared" si="233"/>
        <v>30162.2</v>
      </c>
      <c r="E393" s="560"/>
      <c r="F393" s="560"/>
      <c r="G393" s="560"/>
      <c r="H393" s="560"/>
      <c r="I393" s="560"/>
      <c r="J393" s="560"/>
      <c r="K393" s="560"/>
      <c r="L393" s="155">
        <f t="shared" si="234"/>
        <v>695.3599999999999</v>
      </c>
      <c r="M393" s="560">
        <f t="shared" si="232"/>
        <v>1</v>
      </c>
      <c r="N393" s="560">
        <f t="shared" si="232"/>
        <v>1</v>
      </c>
      <c r="O393" s="766">
        <f t="shared" si="232"/>
        <v>0</v>
      </c>
      <c r="P393" s="155">
        <f t="shared" si="232"/>
        <v>0</v>
      </c>
      <c r="Q393" s="155">
        <f t="shared" si="235"/>
        <v>0</v>
      </c>
      <c r="R393" s="189">
        <f>(B393+C393+D393+E393+F393+G393+H393+I393+J393+K393+L393-'Питание норматив'!$H$40)*M393*N393</f>
        <v>1711.5600000000013</v>
      </c>
      <c r="S393" s="186"/>
    </row>
    <row r="394" spans="1:19" ht="27" hidden="1" customHeight="1" outlineLevel="2" x14ac:dyDescent="0.2">
      <c r="A394" s="90" t="str">
        <f t="shared" si="231"/>
        <v>Гимназия № 16 структурное подразделение</v>
      </c>
      <c r="B394" s="560"/>
      <c r="C394" s="560"/>
      <c r="D394" s="155">
        <f t="shared" si="233"/>
        <v>30162.2</v>
      </c>
      <c r="E394" s="560"/>
      <c r="F394" s="560"/>
      <c r="G394" s="560"/>
      <c r="H394" s="560"/>
      <c r="I394" s="560"/>
      <c r="J394" s="560"/>
      <c r="K394" s="560"/>
      <c r="L394" s="155">
        <f t="shared" si="234"/>
        <v>695.3599999999999</v>
      </c>
      <c r="M394" s="560">
        <f t="shared" si="232"/>
        <v>1</v>
      </c>
      <c r="N394" s="560">
        <f t="shared" si="232"/>
        <v>1</v>
      </c>
      <c r="O394" s="766">
        <f t="shared" si="232"/>
        <v>0</v>
      </c>
      <c r="P394" s="155">
        <f t="shared" si="232"/>
        <v>0</v>
      </c>
      <c r="Q394" s="155">
        <f t="shared" si="235"/>
        <v>0</v>
      </c>
      <c r="R394" s="189">
        <f>(B394+C394+D394+E394+F394+G394+H394+I394+J394+K394+L394-'Питание норматив'!$H$40)*M394*N394</f>
        <v>1711.5600000000013</v>
      </c>
      <c r="S394" s="186"/>
    </row>
    <row r="395" spans="1:19" ht="42.6" hidden="1" customHeight="1" outlineLevel="2" x14ac:dyDescent="0.2">
      <c r="A395" s="90" t="str">
        <f t="shared" si="231"/>
        <v>МАОУ ООШ № 17 с кадетскими классами структурное подразделение</v>
      </c>
      <c r="B395" s="560"/>
      <c r="C395" s="560"/>
      <c r="D395" s="155">
        <f t="shared" si="233"/>
        <v>30162.2</v>
      </c>
      <c r="E395" s="560"/>
      <c r="F395" s="560"/>
      <c r="G395" s="560"/>
      <c r="H395" s="560"/>
      <c r="I395" s="560"/>
      <c r="J395" s="560"/>
      <c r="K395" s="560"/>
      <c r="L395" s="155">
        <f t="shared" si="234"/>
        <v>695.3599999999999</v>
      </c>
      <c r="M395" s="560">
        <f t="shared" si="232"/>
        <v>1</v>
      </c>
      <c r="N395" s="560">
        <f t="shared" si="232"/>
        <v>1</v>
      </c>
      <c r="O395" s="766">
        <f t="shared" si="232"/>
        <v>0</v>
      </c>
      <c r="P395" s="155">
        <f t="shared" si="232"/>
        <v>0</v>
      </c>
      <c r="Q395" s="155">
        <f t="shared" si="235"/>
        <v>0</v>
      </c>
      <c r="R395" s="189">
        <f>(B395+C395+D395+E395+F395+G395+H395+I395+J395+K395+L395-'Питание норматив'!$H$40)*M395*N395</f>
        <v>1711.5600000000013</v>
      </c>
      <c r="S395" s="186"/>
    </row>
    <row r="396" spans="1:19" ht="58.15" hidden="1" customHeight="1" outlineLevel="1" collapsed="1" x14ac:dyDescent="0.2">
      <c r="A396" s="173" t="str">
        <f t="shared" si="231"/>
        <v>Присмотр и уход Дети-сироты и дети, оставшиеся без попечения родителей От 1 года до 3 лет Группа полного дня</v>
      </c>
      <c r="B396" s="175" t="str">
        <f>B236</f>
        <v>853211О.99.0.БВ19АА92000</v>
      </c>
      <c r="C396" s="175"/>
      <c r="D396" s="176">
        <f>'Общий 2023'!D12</f>
        <v>30162.2</v>
      </c>
      <c r="E396" s="176"/>
      <c r="F396" s="176"/>
      <c r="G396" s="176"/>
      <c r="H396" s="176"/>
      <c r="I396" s="176"/>
      <c r="J396" s="176"/>
      <c r="K396" s="176"/>
      <c r="L396" s="176">
        <f>'Общий 2023'!L12</f>
        <v>695.3599999999999</v>
      </c>
      <c r="M396" s="175"/>
      <c r="N396" s="175"/>
      <c r="O396" s="768">
        <f>SUM(O397:O405)</f>
        <v>1</v>
      </c>
      <c r="P396" s="176">
        <f>SUM(P397)</f>
        <v>0</v>
      </c>
      <c r="Q396" s="176">
        <f>SUM(Q397:Q405)</f>
        <v>30900</v>
      </c>
    </row>
    <row r="397" spans="1:19" hidden="1" outlineLevel="2" x14ac:dyDescent="0.2">
      <c r="A397" s="90" t="str">
        <f t="shared" si="231"/>
        <v>МАДОУ ЦРР-детский сад № 2</v>
      </c>
      <c r="B397" s="166"/>
      <c r="C397" s="166"/>
      <c r="D397" s="155">
        <f>D396</f>
        <v>30162.2</v>
      </c>
      <c r="E397" s="166"/>
      <c r="F397" s="166"/>
      <c r="G397" s="166"/>
      <c r="H397" s="166"/>
      <c r="I397" s="166"/>
      <c r="J397" s="166"/>
      <c r="K397" s="166"/>
      <c r="L397" s="155">
        <f>L396</f>
        <v>695.3599999999999</v>
      </c>
      <c r="M397" s="166">
        <f t="shared" ref="M397:O405" si="236">M237</f>
        <v>1</v>
      </c>
      <c r="N397" s="166">
        <f t="shared" si="236"/>
        <v>1</v>
      </c>
      <c r="O397" s="741">
        <f t="shared" si="236"/>
        <v>0</v>
      </c>
      <c r="P397" s="166"/>
      <c r="Q397" s="155">
        <f>ROUND(ROUND((C397+D397+E397+F397+G397+H397+I397+J397+K397+L397)*M397*N397,2)*O397-P397,-2)</f>
        <v>0</v>
      </c>
      <c r="R397" s="189">
        <f>(B397+C397+D397+E397+F397+G397+H397+I397+J397+K397+L397)*M397*N397</f>
        <v>30857.56</v>
      </c>
    </row>
    <row r="398" spans="1:19" hidden="1" outlineLevel="2" x14ac:dyDescent="0.2">
      <c r="A398" s="90" t="str">
        <f t="shared" si="231"/>
        <v>МАДОУ ЦРР-детский сад № 11</v>
      </c>
      <c r="B398" s="349"/>
      <c r="C398" s="349"/>
      <c r="D398" s="155">
        <f t="shared" ref="D398:D405" si="237">D397</f>
        <v>30162.2</v>
      </c>
      <c r="E398" s="349"/>
      <c r="F398" s="349"/>
      <c r="G398" s="349"/>
      <c r="H398" s="349"/>
      <c r="I398" s="349"/>
      <c r="J398" s="349"/>
      <c r="K398" s="349"/>
      <c r="L398" s="155">
        <f t="shared" ref="L398:L405" si="238">L397</f>
        <v>695.3599999999999</v>
      </c>
      <c r="M398" s="560">
        <f t="shared" si="236"/>
        <v>1</v>
      </c>
      <c r="N398" s="560">
        <f t="shared" si="236"/>
        <v>1</v>
      </c>
      <c r="O398" s="741">
        <f t="shared" si="236"/>
        <v>0</v>
      </c>
      <c r="P398" s="349"/>
      <c r="Q398" s="155">
        <f t="shared" ref="Q398:Q405" si="239">ROUND(ROUND((C398+D398+E398+F398+G398+H398+I398+J398+K398+L398)*M398*N398,2)*O398-P398,-2)</f>
        <v>0</v>
      </c>
      <c r="R398" s="189">
        <f t="shared" ref="R398:R405" si="240">(B398+C398+D398+E398+F398+G398+H398+I398+J398+K398+L398)*M398*N398</f>
        <v>30857.56</v>
      </c>
    </row>
    <row r="399" spans="1:19" hidden="1" outlineLevel="2" x14ac:dyDescent="0.2">
      <c r="A399" s="90" t="str">
        <f t="shared" si="231"/>
        <v>МАДОУ ЦРР-детский сад № 13</v>
      </c>
      <c r="B399" s="349"/>
      <c r="C399" s="349"/>
      <c r="D399" s="155">
        <f t="shared" si="237"/>
        <v>30162.2</v>
      </c>
      <c r="E399" s="349"/>
      <c r="F399" s="349"/>
      <c r="G399" s="349"/>
      <c r="H399" s="349"/>
      <c r="I399" s="349"/>
      <c r="J399" s="349"/>
      <c r="K399" s="349"/>
      <c r="L399" s="155">
        <f t="shared" si="238"/>
        <v>695.3599999999999</v>
      </c>
      <c r="M399" s="560">
        <f t="shared" si="236"/>
        <v>1</v>
      </c>
      <c r="N399" s="560">
        <f t="shared" si="236"/>
        <v>1</v>
      </c>
      <c r="O399" s="741">
        <f t="shared" si="236"/>
        <v>1</v>
      </c>
      <c r="P399" s="349"/>
      <c r="Q399" s="155">
        <f t="shared" si="239"/>
        <v>30900</v>
      </c>
      <c r="R399" s="189">
        <f t="shared" si="240"/>
        <v>30857.56</v>
      </c>
    </row>
    <row r="400" spans="1:19" ht="31.15" hidden="1" customHeight="1" outlineLevel="2" x14ac:dyDescent="0.2">
      <c r="A400" s="90" t="str">
        <f t="shared" si="231"/>
        <v>МАОУ СОШ № 1 структурное подразделение</v>
      </c>
      <c r="B400" s="349"/>
      <c r="C400" s="349"/>
      <c r="D400" s="155">
        <f t="shared" si="237"/>
        <v>30162.2</v>
      </c>
      <c r="E400" s="349"/>
      <c r="F400" s="349"/>
      <c r="G400" s="349"/>
      <c r="H400" s="349"/>
      <c r="I400" s="349"/>
      <c r="J400" s="349"/>
      <c r="K400" s="349"/>
      <c r="L400" s="155">
        <f t="shared" si="238"/>
        <v>695.3599999999999</v>
      </c>
      <c r="M400" s="560">
        <f t="shared" si="236"/>
        <v>1</v>
      </c>
      <c r="N400" s="560">
        <f t="shared" si="236"/>
        <v>1</v>
      </c>
      <c r="O400" s="741">
        <f t="shared" si="236"/>
        <v>0</v>
      </c>
      <c r="P400" s="349"/>
      <c r="Q400" s="155">
        <f t="shared" si="239"/>
        <v>0</v>
      </c>
      <c r="R400" s="189">
        <f t="shared" si="240"/>
        <v>30857.56</v>
      </c>
    </row>
    <row r="401" spans="1:18" ht="38.25" hidden="1" outlineLevel="2" x14ac:dyDescent="0.2">
      <c r="A401" s="90" t="str">
        <f t="shared" si="231"/>
        <v>МАОУ СОШ № 2 им.М.И.Грибушина структурное подразделение</v>
      </c>
      <c r="B401" s="349"/>
      <c r="C401" s="349"/>
      <c r="D401" s="155">
        <f t="shared" si="237"/>
        <v>30162.2</v>
      </c>
      <c r="E401" s="349"/>
      <c r="F401" s="349"/>
      <c r="G401" s="349"/>
      <c r="H401" s="349"/>
      <c r="I401" s="349"/>
      <c r="J401" s="349"/>
      <c r="K401" s="349"/>
      <c r="L401" s="155">
        <f t="shared" si="238"/>
        <v>695.3599999999999</v>
      </c>
      <c r="M401" s="560">
        <f t="shared" si="236"/>
        <v>1</v>
      </c>
      <c r="N401" s="560">
        <f t="shared" si="236"/>
        <v>1</v>
      </c>
      <c r="O401" s="741">
        <f t="shared" si="236"/>
        <v>0</v>
      </c>
      <c r="P401" s="349"/>
      <c r="Q401" s="155">
        <f t="shared" si="239"/>
        <v>0</v>
      </c>
      <c r="R401" s="189">
        <f t="shared" si="240"/>
        <v>30857.56</v>
      </c>
    </row>
    <row r="402" spans="1:18" ht="25.5" hidden="1" outlineLevel="2" x14ac:dyDescent="0.2">
      <c r="A402" s="90" t="str">
        <f t="shared" si="231"/>
        <v>МАОУ СОШ № 10 структурное подразделение</v>
      </c>
      <c r="B402" s="349"/>
      <c r="C402" s="349"/>
      <c r="D402" s="155">
        <f t="shared" si="237"/>
        <v>30162.2</v>
      </c>
      <c r="E402" s="349"/>
      <c r="F402" s="349"/>
      <c r="G402" s="349"/>
      <c r="H402" s="349"/>
      <c r="I402" s="349"/>
      <c r="J402" s="349"/>
      <c r="K402" s="349"/>
      <c r="L402" s="155">
        <f t="shared" si="238"/>
        <v>695.3599999999999</v>
      </c>
      <c r="M402" s="560">
        <f t="shared" si="236"/>
        <v>1</v>
      </c>
      <c r="N402" s="560">
        <f t="shared" si="236"/>
        <v>1</v>
      </c>
      <c r="O402" s="741">
        <f t="shared" si="236"/>
        <v>0</v>
      </c>
      <c r="P402" s="349"/>
      <c r="Q402" s="155">
        <f t="shared" si="239"/>
        <v>0</v>
      </c>
      <c r="R402" s="189">
        <f t="shared" si="240"/>
        <v>30857.56</v>
      </c>
    </row>
    <row r="403" spans="1:18" ht="13.9" hidden="1" customHeight="1" outlineLevel="2" x14ac:dyDescent="0.2">
      <c r="A403" s="90" t="str">
        <f t="shared" si="231"/>
        <v>МАОУ СОШ № 13 структурное подразделение</v>
      </c>
      <c r="B403" s="349"/>
      <c r="C403" s="349"/>
      <c r="D403" s="155">
        <f t="shared" si="237"/>
        <v>30162.2</v>
      </c>
      <c r="E403" s="349"/>
      <c r="F403" s="349"/>
      <c r="G403" s="349"/>
      <c r="H403" s="349"/>
      <c r="I403" s="349"/>
      <c r="J403" s="349"/>
      <c r="K403" s="349"/>
      <c r="L403" s="155">
        <f t="shared" si="238"/>
        <v>695.3599999999999</v>
      </c>
      <c r="M403" s="560">
        <f t="shared" si="236"/>
        <v>1</v>
      </c>
      <c r="N403" s="560">
        <f t="shared" si="236"/>
        <v>1</v>
      </c>
      <c r="O403" s="741">
        <f t="shared" si="236"/>
        <v>0</v>
      </c>
      <c r="P403" s="349"/>
      <c r="Q403" s="155">
        <f t="shared" si="239"/>
        <v>0</v>
      </c>
      <c r="R403" s="189">
        <f t="shared" si="240"/>
        <v>30857.56</v>
      </c>
    </row>
    <row r="404" spans="1:18" ht="25.5" hidden="1" outlineLevel="2" x14ac:dyDescent="0.2">
      <c r="A404" s="90" t="str">
        <f t="shared" si="231"/>
        <v>Гимназия № 16 структурное подразделение</v>
      </c>
      <c r="B404" s="349"/>
      <c r="C404" s="349"/>
      <c r="D404" s="155">
        <f t="shared" si="237"/>
        <v>30162.2</v>
      </c>
      <c r="E404" s="349"/>
      <c r="F404" s="349"/>
      <c r="G404" s="349"/>
      <c r="H404" s="349"/>
      <c r="I404" s="349"/>
      <c r="J404" s="349"/>
      <c r="K404" s="349"/>
      <c r="L404" s="155">
        <f t="shared" si="238"/>
        <v>695.3599999999999</v>
      </c>
      <c r="M404" s="560">
        <f t="shared" si="236"/>
        <v>1</v>
      </c>
      <c r="N404" s="560">
        <f t="shared" si="236"/>
        <v>1</v>
      </c>
      <c r="O404" s="741">
        <f t="shared" si="236"/>
        <v>0</v>
      </c>
      <c r="P404" s="349"/>
      <c r="Q404" s="155">
        <f t="shared" si="239"/>
        <v>0</v>
      </c>
      <c r="R404" s="189">
        <f t="shared" si="240"/>
        <v>30857.56</v>
      </c>
    </row>
    <row r="405" spans="1:18" ht="39.6" hidden="1" customHeight="1" outlineLevel="2" x14ac:dyDescent="0.2">
      <c r="A405" s="90" t="str">
        <f t="shared" si="231"/>
        <v>МАОУ ООШ № 17 с кадетскими классами структурное подразделение</v>
      </c>
      <c r="B405" s="349"/>
      <c r="C405" s="349"/>
      <c r="D405" s="155">
        <f t="shared" si="237"/>
        <v>30162.2</v>
      </c>
      <c r="E405" s="349"/>
      <c r="F405" s="349"/>
      <c r="G405" s="349"/>
      <c r="H405" s="349"/>
      <c r="I405" s="349"/>
      <c r="J405" s="349"/>
      <c r="K405" s="349"/>
      <c r="L405" s="155">
        <f t="shared" si="238"/>
        <v>695.3599999999999</v>
      </c>
      <c r="M405" s="560">
        <f t="shared" si="236"/>
        <v>1</v>
      </c>
      <c r="N405" s="560">
        <f t="shared" si="236"/>
        <v>1</v>
      </c>
      <c r="O405" s="741">
        <f t="shared" si="236"/>
        <v>0</v>
      </c>
      <c r="P405" s="349"/>
      <c r="Q405" s="155">
        <f t="shared" si="239"/>
        <v>0</v>
      </c>
      <c r="R405" s="189">
        <f t="shared" si="240"/>
        <v>30857.56</v>
      </c>
    </row>
    <row r="406" spans="1:18" ht="42.75" hidden="1" customHeight="1" outlineLevel="1" collapsed="1" x14ac:dyDescent="0.2">
      <c r="A406" s="173" t="str">
        <f t="shared" si="231"/>
        <v>Присмотр и уход Дети-инвалиды От 1 лет до 3 лет группа полного дня</v>
      </c>
      <c r="B406" s="471" t="s">
        <v>658</v>
      </c>
      <c r="C406" s="175"/>
      <c r="D406" s="176">
        <f>'Общий 2023'!D15</f>
        <v>30162.2</v>
      </c>
      <c r="E406" s="176"/>
      <c r="F406" s="176"/>
      <c r="G406" s="176"/>
      <c r="H406" s="176"/>
      <c r="I406" s="176"/>
      <c r="J406" s="176"/>
      <c r="K406" s="176"/>
      <c r="L406" s="176">
        <f>'Общий 2023'!L15</f>
        <v>695.3599999999999</v>
      </c>
      <c r="M406" s="175"/>
      <c r="N406" s="175"/>
      <c r="O406" s="768">
        <f>SUM(O407:O415)</f>
        <v>2</v>
      </c>
      <c r="P406" s="176">
        <f>SUM(P407:P415)</f>
        <v>0</v>
      </c>
      <c r="Q406" s="176">
        <f>SUM(Q407:Q415)</f>
        <v>61800</v>
      </c>
    </row>
    <row r="407" spans="1:18" ht="12.95" hidden="1" customHeight="1" outlineLevel="2" x14ac:dyDescent="0.2">
      <c r="A407" s="90" t="str">
        <f t="shared" si="231"/>
        <v>МАДОУ ЦРР-детский сад № 2</v>
      </c>
      <c r="B407" s="798"/>
      <c r="C407" s="798"/>
      <c r="D407" s="155">
        <f>D406</f>
        <v>30162.2</v>
      </c>
      <c r="E407" s="798"/>
      <c r="F407" s="798"/>
      <c r="G407" s="798"/>
      <c r="H407" s="798"/>
      <c r="I407" s="798"/>
      <c r="J407" s="798"/>
      <c r="K407" s="798"/>
      <c r="L407" s="155">
        <f>L406</f>
        <v>695.3599999999999</v>
      </c>
      <c r="M407" s="798">
        <f t="shared" ref="M407:O415" si="241">M247</f>
        <v>1</v>
      </c>
      <c r="N407" s="798">
        <f t="shared" si="241"/>
        <v>1</v>
      </c>
      <c r="O407" s="799">
        <f t="shared" si="241"/>
        <v>0</v>
      </c>
      <c r="P407" s="155"/>
      <c r="Q407" s="155">
        <f>ROUND(ROUND((C407+D407+E407+F407+G407+H407+I407+J407+K407+L407)*M407*N407,2)*O407-P407,-2)</f>
        <v>0</v>
      </c>
      <c r="R407" s="189">
        <f>(B407+C407+D407+E407+F407+G407+H407+I407+J407+K407+L407)*M407*N407</f>
        <v>30857.56</v>
      </c>
    </row>
    <row r="408" spans="1:18" ht="12.95" hidden="1" customHeight="1" outlineLevel="2" x14ac:dyDescent="0.2">
      <c r="A408" s="90" t="str">
        <f t="shared" si="231"/>
        <v>МАДОУ ЦРР-детский сад № 11</v>
      </c>
      <c r="B408" s="798"/>
      <c r="C408" s="798"/>
      <c r="D408" s="806">
        <f t="shared" ref="D408:D415" si="242">D407</f>
        <v>30162.2</v>
      </c>
      <c r="E408" s="798"/>
      <c r="F408" s="798"/>
      <c r="G408" s="798"/>
      <c r="H408" s="798"/>
      <c r="I408" s="798"/>
      <c r="J408" s="798"/>
      <c r="K408" s="798"/>
      <c r="L408" s="806">
        <f t="shared" ref="L408:L415" si="243">L407</f>
        <v>695.3599999999999</v>
      </c>
      <c r="M408" s="798">
        <f t="shared" si="241"/>
        <v>1</v>
      </c>
      <c r="N408" s="798">
        <f t="shared" si="241"/>
        <v>1</v>
      </c>
      <c r="O408" s="799">
        <f t="shared" si="241"/>
        <v>0</v>
      </c>
      <c r="P408" s="155"/>
      <c r="Q408" s="806">
        <f t="shared" ref="Q408:Q415" si="244">ROUND(ROUND((C408+D408+E408+F408+G408+H408+I408+J408+K408+L408)*M408*N408,2)*O408-P408,-2)</f>
        <v>0</v>
      </c>
      <c r="R408" s="189">
        <f t="shared" ref="R408:R415" si="245">(B408+C408+D408+E408+F408+G408+H408+I408+J408+K408+L408)*M408*N408</f>
        <v>30857.56</v>
      </c>
    </row>
    <row r="409" spans="1:18" ht="12.95" hidden="1" customHeight="1" outlineLevel="2" x14ac:dyDescent="0.2">
      <c r="A409" s="90" t="str">
        <f t="shared" si="231"/>
        <v>МАДОУ ЦРР-детский сад № 13</v>
      </c>
      <c r="B409" s="798"/>
      <c r="C409" s="798"/>
      <c r="D409" s="806">
        <f t="shared" si="242"/>
        <v>30162.2</v>
      </c>
      <c r="E409" s="798"/>
      <c r="F409" s="798"/>
      <c r="G409" s="798"/>
      <c r="H409" s="798"/>
      <c r="I409" s="798"/>
      <c r="J409" s="798"/>
      <c r="K409" s="798"/>
      <c r="L409" s="806">
        <f t="shared" si="243"/>
        <v>695.3599999999999</v>
      </c>
      <c r="M409" s="798">
        <f t="shared" si="241"/>
        <v>1</v>
      </c>
      <c r="N409" s="798">
        <f t="shared" si="241"/>
        <v>1</v>
      </c>
      <c r="O409" s="799">
        <f t="shared" si="241"/>
        <v>1</v>
      </c>
      <c r="P409" s="155"/>
      <c r="Q409" s="806">
        <f t="shared" si="244"/>
        <v>30900</v>
      </c>
      <c r="R409" s="189">
        <f t="shared" si="245"/>
        <v>30857.56</v>
      </c>
    </row>
    <row r="410" spans="1:18" ht="26.45" hidden="1" customHeight="1" outlineLevel="2" x14ac:dyDescent="0.2">
      <c r="A410" s="90" t="str">
        <f t="shared" si="231"/>
        <v>МАОУ СОШ № 1 структурное подразделение</v>
      </c>
      <c r="B410" s="798"/>
      <c r="C410" s="798"/>
      <c r="D410" s="806">
        <f t="shared" si="242"/>
        <v>30162.2</v>
      </c>
      <c r="E410" s="798"/>
      <c r="F410" s="798"/>
      <c r="G410" s="798"/>
      <c r="H410" s="798"/>
      <c r="I410" s="798"/>
      <c r="J410" s="798"/>
      <c r="K410" s="798"/>
      <c r="L410" s="806">
        <f t="shared" si="243"/>
        <v>695.3599999999999</v>
      </c>
      <c r="M410" s="798">
        <f t="shared" si="241"/>
        <v>1</v>
      </c>
      <c r="N410" s="798">
        <f t="shared" si="241"/>
        <v>1</v>
      </c>
      <c r="O410" s="799">
        <f t="shared" si="241"/>
        <v>0</v>
      </c>
      <c r="P410" s="155"/>
      <c r="Q410" s="806">
        <f t="shared" si="244"/>
        <v>0</v>
      </c>
      <c r="R410" s="189">
        <f t="shared" si="245"/>
        <v>30857.56</v>
      </c>
    </row>
    <row r="411" spans="1:18" ht="39" hidden="1" customHeight="1" outlineLevel="2" x14ac:dyDescent="0.2">
      <c r="A411" s="90" t="str">
        <f t="shared" si="231"/>
        <v>МАОУ СОШ № 2 им.М.И.Грибушина структурное подразделение</v>
      </c>
      <c r="B411" s="798"/>
      <c r="C411" s="798"/>
      <c r="D411" s="806">
        <f t="shared" si="242"/>
        <v>30162.2</v>
      </c>
      <c r="E411" s="798"/>
      <c r="F411" s="798"/>
      <c r="G411" s="798"/>
      <c r="H411" s="798"/>
      <c r="I411" s="798"/>
      <c r="J411" s="798"/>
      <c r="K411" s="798"/>
      <c r="L411" s="806">
        <f t="shared" si="243"/>
        <v>695.3599999999999</v>
      </c>
      <c r="M411" s="798">
        <f t="shared" si="241"/>
        <v>1</v>
      </c>
      <c r="N411" s="798">
        <f t="shared" si="241"/>
        <v>1</v>
      </c>
      <c r="O411" s="799">
        <f t="shared" si="241"/>
        <v>0</v>
      </c>
      <c r="P411" s="155"/>
      <c r="Q411" s="806">
        <f t="shared" si="244"/>
        <v>0</v>
      </c>
      <c r="R411" s="189">
        <f t="shared" si="245"/>
        <v>30857.56</v>
      </c>
    </row>
    <row r="412" spans="1:18" ht="26.45" hidden="1" customHeight="1" outlineLevel="2" x14ac:dyDescent="0.2">
      <c r="A412" s="90" t="str">
        <f t="shared" si="231"/>
        <v>МАОУ СОШ № 10 структурное подразделение</v>
      </c>
      <c r="B412" s="798"/>
      <c r="C412" s="798"/>
      <c r="D412" s="806">
        <f t="shared" si="242"/>
        <v>30162.2</v>
      </c>
      <c r="E412" s="798"/>
      <c r="F412" s="798"/>
      <c r="G412" s="798"/>
      <c r="H412" s="798"/>
      <c r="I412" s="798"/>
      <c r="J412" s="798"/>
      <c r="K412" s="798"/>
      <c r="L412" s="806">
        <f t="shared" si="243"/>
        <v>695.3599999999999</v>
      </c>
      <c r="M412" s="798">
        <f t="shared" si="241"/>
        <v>1</v>
      </c>
      <c r="N412" s="798">
        <f t="shared" si="241"/>
        <v>1</v>
      </c>
      <c r="O412" s="799">
        <f t="shared" si="241"/>
        <v>0</v>
      </c>
      <c r="P412" s="155"/>
      <c r="Q412" s="806">
        <f t="shared" si="244"/>
        <v>0</v>
      </c>
      <c r="R412" s="189">
        <f t="shared" si="245"/>
        <v>30857.56</v>
      </c>
    </row>
    <row r="413" spans="1:18" ht="26.45" hidden="1" customHeight="1" outlineLevel="2" x14ac:dyDescent="0.2">
      <c r="A413" s="90" t="str">
        <f t="shared" ref="A413:A444" si="246">A253</f>
        <v>МАОУ СОШ № 13 структурное подразделение</v>
      </c>
      <c r="B413" s="798"/>
      <c r="C413" s="798"/>
      <c r="D413" s="806">
        <f t="shared" si="242"/>
        <v>30162.2</v>
      </c>
      <c r="E413" s="798"/>
      <c r="F413" s="798"/>
      <c r="G413" s="798"/>
      <c r="H413" s="798"/>
      <c r="I413" s="798"/>
      <c r="J413" s="798"/>
      <c r="K413" s="798"/>
      <c r="L413" s="806">
        <f t="shared" si="243"/>
        <v>695.3599999999999</v>
      </c>
      <c r="M413" s="798">
        <f t="shared" si="241"/>
        <v>1</v>
      </c>
      <c r="N413" s="798">
        <f t="shared" si="241"/>
        <v>1</v>
      </c>
      <c r="O413" s="799">
        <f t="shared" si="241"/>
        <v>0</v>
      </c>
      <c r="P413" s="155"/>
      <c r="Q413" s="806">
        <f t="shared" si="244"/>
        <v>0</v>
      </c>
      <c r="R413" s="189">
        <f t="shared" si="245"/>
        <v>30857.56</v>
      </c>
    </row>
    <row r="414" spans="1:18" ht="27" hidden="1" customHeight="1" outlineLevel="2" x14ac:dyDescent="0.2">
      <c r="A414" s="90" t="str">
        <f t="shared" si="246"/>
        <v>Гимназия № 16 структурное подразделение</v>
      </c>
      <c r="B414" s="798"/>
      <c r="C414" s="798"/>
      <c r="D414" s="806">
        <f t="shared" si="242"/>
        <v>30162.2</v>
      </c>
      <c r="E414" s="798"/>
      <c r="F414" s="798"/>
      <c r="G414" s="798"/>
      <c r="H414" s="798"/>
      <c r="I414" s="798"/>
      <c r="J414" s="798"/>
      <c r="K414" s="798"/>
      <c r="L414" s="806">
        <f t="shared" si="243"/>
        <v>695.3599999999999</v>
      </c>
      <c r="M414" s="798">
        <f t="shared" si="241"/>
        <v>1</v>
      </c>
      <c r="N414" s="798">
        <f t="shared" si="241"/>
        <v>1</v>
      </c>
      <c r="O414" s="799">
        <f t="shared" si="241"/>
        <v>1</v>
      </c>
      <c r="P414" s="155"/>
      <c r="Q414" s="806">
        <f t="shared" si="244"/>
        <v>30900</v>
      </c>
      <c r="R414" s="189">
        <f t="shared" si="245"/>
        <v>30857.56</v>
      </c>
    </row>
    <row r="415" spans="1:18" ht="45" hidden="1" customHeight="1" outlineLevel="2" x14ac:dyDescent="0.2">
      <c r="A415" s="90" t="str">
        <f t="shared" si="246"/>
        <v>МАОУ ООШ № 17 с кадетскими классами структурное подразделение</v>
      </c>
      <c r="B415" s="798"/>
      <c r="C415" s="798"/>
      <c r="D415" s="806">
        <f t="shared" si="242"/>
        <v>30162.2</v>
      </c>
      <c r="E415" s="798"/>
      <c r="F415" s="798"/>
      <c r="G415" s="798"/>
      <c r="H415" s="798"/>
      <c r="I415" s="798"/>
      <c r="J415" s="798"/>
      <c r="K415" s="798"/>
      <c r="L415" s="806">
        <f t="shared" si="243"/>
        <v>695.3599999999999</v>
      </c>
      <c r="M415" s="798">
        <f t="shared" si="241"/>
        <v>1</v>
      </c>
      <c r="N415" s="798">
        <f t="shared" si="241"/>
        <v>1</v>
      </c>
      <c r="O415" s="799">
        <f t="shared" si="241"/>
        <v>0</v>
      </c>
      <c r="P415" s="155"/>
      <c r="Q415" s="806">
        <f t="shared" si="244"/>
        <v>0</v>
      </c>
      <c r="R415" s="189">
        <f t="shared" si="245"/>
        <v>30857.56</v>
      </c>
    </row>
    <row r="416" spans="1:18" ht="61.15" hidden="1" customHeight="1" outlineLevel="1" collapsed="1" x14ac:dyDescent="0.2">
      <c r="A416" s="173" t="str">
        <f t="shared" si="246"/>
        <v>Присмотр и уход Физические лица за исключением льготных категорий От 3 лет до 8 лет Группа полного дня</v>
      </c>
      <c r="B416" s="175" t="str">
        <f>B256</f>
        <v>853211О.99.0.БВ19АА56000</v>
      </c>
      <c r="C416" s="175"/>
      <c r="D416" s="176">
        <f>'Общий 2023'!D20</f>
        <v>35596.199999999997</v>
      </c>
      <c r="E416" s="176"/>
      <c r="F416" s="176"/>
      <c r="G416" s="176"/>
      <c r="H416" s="176"/>
      <c r="I416" s="176"/>
      <c r="J416" s="176"/>
      <c r="K416" s="176"/>
      <c r="L416" s="176">
        <f>'Общий 2023'!L20</f>
        <v>534.89</v>
      </c>
      <c r="M416" s="175"/>
      <c r="N416" s="175"/>
      <c r="O416" s="768">
        <f>SUM(O417:O425)</f>
        <v>1850</v>
      </c>
      <c r="P416" s="176">
        <f>SUM(P417:P425)</f>
        <v>56661900</v>
      </c>
      <c r="Q416" s="176">
        <f>SUM(Q417:Q425)</f>
        <v>10180600</v>
      </c>
    </row>
    <row r="417" spans="1:18" ht="12.95" hidden="1" customHeight="1" outlineLevel="2" x14ac:dyDescent="0.2">
      <c r="A417" s="90" t="str">
        <f t="shared" si="246"/>
        <v>МАДОУ ЦРР-детский сад № 2</v>
      </c>
      <c r="B417" s="166"/>
      <c r="C417" s="166"/>
      <c r="D417" s="155">
        <f>$D$416</f>
        <v>35596.199999999997</v>
      </c>
      <c r="E417" s="166"/>
      <c r="F417" s="166"/>
      <c r="G417" s="166"/>
      <c r="H417" s="166"/>
      <c r="I417" s="166"/>
      <c r="J417" s="166"/>
      <c r="K417" s="166"/>
      <c r="L417" s="155">
        <f>$L$416</f>
        <v>534.89</v>
      </c>
      <c r="M417" s="166">
        <f t="shared" ref="M417:P425" si="247">M257</f>
        <v>1</v>
      </c>
      <c r="N417" s="166">
        <f t="shared" si="247"/>
        <v>1</v>
      </c>
      <c r="O417" s="741">
        <f t="shared" si="247"/>
        <v>289</v>
      </c>
      <c r="P417" s="155">
        <f t="shared" si="247"/>
        <v>8851500</v>
      </c>
      <c r="Q417" s="155">
        <f>ROUND(ROUND((C417+D417+E417+F417+G417+H417+I417+J417+K417+L417)*M417*N417,2)*O417-P417,-2)</f>
        <v>1590400</v>
      </c>
      <c r="R417" s="189">
        <f>(B417+C417+D417+E417+F417+G417+H417+I417+J417+K417+L417-'Питание норматив'!$K$40)*M417*N417</f>
        <v>1551.0899999999965</v>
      </c>
    </row>
    <row r="418" spans="1:18" ht="12.95" hidden="1" customHeight="1" outlineLevel="2" x14ac:dyDescent="0.2">
      <c r="A418" s="90" t="str">
        <f t="shared" si="246"/>
        <v>МАДОУ ЦРР-детский сад № 11</v>
      </c>
      <c r="B418" s="166"/>
      <c r="C418" s="166"/>
      <c r="D418" s="155">
        <f t="shared" ref="D418:D425" si="248">$D$416</f>
        <v>35596.199999999997</v>
      </c>
      <c r="E418" s="166"/>
      <c r="F418" s="166"/>
      <c r="G418" s="166"/>
      <c r="H418" s="166"/>
      <c r="I418" s="166"/>
      <c r="J418" s="166"/>
      <c r="K418" s="166"/>
      <c r="L418" s="155">
        <f t="shared" ref="L418:L425" si="249">$L$416</f>
        <v>534.89</v>
      </c>
      <c r="M418" s="560">
        <f t="shared" si="247"/>
        <v>1</v>
      </c>
      <c r="N418" s="560">
        <f t="shared" si="247"/>
        <v>1</v>
      </c>
      <c r="O418" s="741">
        <f t="shared" si="247"/>
        <v>275</v>
      </c>
      <c r="P418" s="155">
        <f t="shared" si="247"/>
        <v>8422700</v>
      </c>
      <c r="Q418" s="155">
        <f t="shared" ref="Q418:Q425" si="250">ROUND(ROUND((C418+D418+E418+F418+G418+H418+I418+J418+K418+L418)*M418*N418,2)*O418-P418,-2)</f>
        <v>1513300</v>
      </c>
      <c r="R418" s="189">
        <f>(B418+C418+D418+E418+F418+G418+H418+I418+J418+K418+L418-'Питание норматив'!$K$40)*M418*N418</f>
        <v>1551.0899999999965</v>
      </c>
    </row>
    <row r="419" spans="1:18" ht="12.95" hidden="1" customHeight="1" outlineLevel="2" x14ac:dyDescent="0.2">
      <c r="A419" s="90" t="str">
        <f t="shared" si="246"/>
        <v>МАДОУ ЦРР-детский сад № 13</v>
      </c>
      <c r="B419" s="166"/>
      <c r="C419" s="166"/>
      <c r="D419" s="155">
        <f t="shared" si="248"/>
        <v>35596.199999999997</v>
      </c>
      <c r="E419" s="166"/>
      <c r="F419" s="166"/>
      <c r="G419" s="166"/>
      <c r="H419" s="166"/>
      <c r="I419" s="166"/>
      <c r="J419" s="166"/>
      <c r="K419" s="166"/>
      <c r="L419" s="155">
        <f t="shared" si="249"/>
        <v>534.89</v>
      </c>
      <c r="M419" s="560">
        <f t="shared" si="247"/>
        <v>1</v>
      </c>
      <c r="N419" s="560">
        <f t="shared" si="247"/>
        <v>1</v>
      </c>
      <c r="O419" s="741">
        <f t="shared" si="247"/>
        <v>331</v>
      </c>
      <c r="P419" s="155">
        <f t="shared" si="247"/>
        <v>10137900</v>
      </c>
      <c r="Q419" s="155">
        <f t="shared" si="250"/>
        <v>1821500</v>
      </c>
      <c r="R419" s="189">
        <f>(B419+C419+D419+E419+F419+G419+H419+I419+J419+K419+L419-'Питание норматив'!$K$40)*M419*N419</f>
        <v>1551.0899999999965</v>
      </c>
    </row>
    <row r="420" spans="1:18" ht="28.9" hidden="1" customHeight="1" outlineLevel="2" x14ac:dyDescent="0.2">
      <c r="A420" s="90" t="str">
        <f t="shared" si="246"/>
        <v>МАОУ СОШ № 1 структурное подразделение</v>
      </c>
      <c r="B420" s="166"/>
      <c r="C420" s="166"/>
      <c r="D420" s="155">
        <f t="shared" si="248"/>
        <v>35596.199999999997</v>
      </c>
      <c r="E420" s="166"/>
      <c r="F420" s="166"/>
      <c r="G420" s="166"/>
      <c r="H420" s="166"/>
      <c r="I420" s="166"/>
      <c r="J420" s="166"/>
      <c r="K420" s="166"/>
      <c r="L420" s="155">
        <f t="shared" si="249"/>
        <v>534.89</v>
      </c>
      <c r="M420" s="560">
        <f t="shared" si="247"/>
        <v>1</v>
      </c>
      <c r="N420" s="560">
        <f t="shared" si="247"/>
        <v>1</v>
      </c>
      <c r="O420" s="741">
        <f t="shared" si="247"/>
        <v>245</v>
      </c>
      <c r="P420" s="155">
        <f t="shared" si="247"/>
        <v>7503900</v>
      </c>
      <c r="Q420" s="155">
        <f t="shared" si="250"/>
        <v>1348200</v>
      </c>
      <c r="R420" s="189">
        <f>(B420+C420+D420+E420+F420+G420+H420+I420+J420+K420+L420-'Питание норматив'!$K$40)*M420*N420</f>
        <v>1551.0899999999965</v>
      </c>
    </row>
    <row r="421" spans="1:18" ht="46.15" hidden="1" customHeight="1" outlineLevel="2" x14ac:dyDescent="0.2">
      <c r="A421" s="90" t="str">
        <f t="shared" si="246"/>
        <v>МАОУ СОШ № 2 им.М.И.Грибушина структурное подразделение</v>
      </c>
      <c r="B421" s="166"/>
      <c r="C421" s="166"/>
      <c r="D421" s="155">
        <f t="shared" si="248"/>
        <v>35596.199999999997</v>
      </c>
      <c r="E421" s="166"/>
      <c r="F421" s="166"/>
      <c r="G421" s="166"/>
      <c r="H421" s="166"/>
      <c r="I421" s="166"/>
      <c r="J421" s="166"/>
      <c r="K421" s="166"/>
      <c r="L421" s="155">
        <f t="shared" si="249"/>
        <v>534.89</v>
      </c>
      <c r="M421" s="560">
        <f t="shared" si="247"/>
        <v>1</v>
      </c>
      <c r="N421" s="560">
        <f t="shared" si="247"/>
        <v>1</v>
      </c>
      <c r="O421" s="741">
        <f t="shared" si="247"/>
        <v>153</v>
      </c>
      <c r="P421" s="155">
        <f t="shared" si="247"/>
        <v>4686100</v>
      </c>
      <c r="Q421" s="155">
        <f t="shared" si="250"/>
        <v>842000</v>
      </c>
      <c r="R421" s="189">
        <f>(B421+C421+D421+E421+F421+G421+H421+I421+J421+K421+L421-'Питание норматив'!$K$40)*M421*N421</f>
        <v>1551.0899999999965</v>
      </c>
    </row>
    <row r="422" spans="1:18" ht="31.15" hidden="1" customHeight="1" outlineLevel="2" x14ac:dyDescent="0.2">
      <c r="A422" s="90" t="str">
        <f t="shared" si="246"/>
        <v>МАОУ СОШ № 10 структурное подразделение</v>
      </c>
      <c r="B422" s="166"/>
      <c r="C422" s="166"/>
      <c r="D422" s="155">
        <f t="shared" si="248"/>
        <v>35596.199999999997</v>
      </c>
      <c r="E422" s="166"/>
      <c r="F422" s="166"/>
      <c r="G422" s="166"/>
      <c r="H422" s="166"/>
      <c r="I422" s="166"/>
      <c r="J422" s="166"/>
      <c r="K422" s="166"/>
      <c r="L422" s="155">
        <f t="shared" si="249"/>
        <v>534.89</v>
      </c>
      <c r="M422" s="560">
        <f t="shared" si="247"/>
        <v>1</v>
      </c>
      <c r="N422" s="560">
        <f t="shared" si="247"/>
        <v>1</v>
      </c>
      <c r="O422" s="741">
        <f t="shared" si="247"/>
        <v>146</v>
      </c>
      <c r="P422" s="155">
        <f t="shared" si="247"/>
        <v>4471700</v>
      </c>
      <c r="Q422" s="155">
        <f t="shared" si="250"/>
        <v>803400</v>
      </c>
      <c r="R422" s="189">
        <f>(B422+C422+D422+E422+F422+G422+H422+I422+J422+K422+L422-'Питание норматив'!$K$40)*M422*N422</f>
        <v>1551.0899999999965</v>
      </c>
    </row>
    <row r="423" spans="1:18" ht="33" hidden="1" customHeight="1" outlineLevel="2" x14ac:dyDescent="0.2">
      <c r="A423" s="90" t="str">
        <f t="shared" si="246"/>
        <v>МАОУ СОШ № 13 структурное подразделение</v>
      </c>
      <c r="B423" s="166"/>
      <c r="C423" s="166"/>
      <c r="D423" s="155">
        <f t="shared" si="248"/>
        <v>35596.199999999997</v>
      </c>
      <c r="E423" s="166"/>
      <c r="F423" s="166"/>
      <c r="G423" s="166"/>
      <c r="H423" s="166"/>
      <c r="I423" s="166"/>
      <c r="J423" s="166"/>
      <c r="K423" s="166"/>
      <c r="L423" s="155">
        <f t="shared" si="249"/>
        <v>534.89</v>
      </c>
      <c r="M423" s="560">
        <f t="shared" si="247"/>
        <v>1</v>
      </c>
      <c r="N423" s="560">
        <f t="shared" si="247"/>
        <v>1</v>
      </c>
      <c r="O423" s="741">
        <f t="shared" si="247"/>
        <v>99</v>
      </c>
      <c r="P423" s="155">
        <f t="shared" si="247"/>
        <v>3032200</v>
      </c>
      <c r="Q423" s="155">
        <f t="shared" si="250"/>
        <v>544800</v>
      </c>
      <c r="R423" s="189">
        <f>(B423+C423+D423+E423+F423+G423+H423+I423+J423+K423+L423-'Питание норматив'!$K$40)*M423*N423</f>
        <v>1551.0899999999965</v>
      </c>
    </row>
    <row r="424" spans="1:18" ht="38.450000000000003" hidden="1" customHeight="1" outlineLevel="2" x14ac:dyDescent="0.2">
      <c r="A424" s="90" t="str">
        <f t="shared" si="246"/>
        <v>Гимназия № 16 структурное подразделение</v>
      </c>
      <c r="B424" s="166"/>
      <c r="C424" s="166"/>
      <c r="D424" s="155">
        <f t="shared" si="248"/>
        <v>35596.199999999997</v>
      </c>
      <c r="E424" s="166"/>
      <c r="F424" s="166"/>
      <c r="G424" s="166"/>
      <c r="H424" s="166"/>
      <c r="I424" s="166"/>
      <c r="J424" s="166"/>
      <c r="K424" s="166"/>
      <c r="L424" s="155">
        <f t="shared" si="249"/>
        <v>534.89</v>
      </c>
      <c r="M424" s="560">
        <f t="shared" si="247"/>
        <v>1</v>
      </c>
      <c r="N424" s="560">
        <f t="shared" si="247"/>
        <v>1</v>
      </c>
      <c r="O424" s="741">
        <f t="shared" si="247"/>
        <v>250</v>
      </c>
      <c r="P424" s="155">
        <f t="shared" si="247"/>
        <v>7657000</v>
      </c>
      <c r="Q424" s="155">
        <f t="shared" si="250"/>
        <v>1375800</v>
      </c>
      <c r="R424" s="189">
        <f>(B424+C424+D424+E424+F424+G424+H424+I424+J424+K424+L424-'Питание норматив'!$K$40)*M424*N424</f>
        <v>1551.0899999999965</v>
      </c>
    </row>
    <row r="425" spans="1:18" ht="43.9" hidden="1" customHeight="1" outlineLevel="2" x14ac:dyDescent="0.2">
      <c r="A425" s="90" t="str">
        <f t="shared" si="246"/>
        <v>МАОУ ООШ № 17 с кадетскими классами структурное подразделение</v>
      </c>
      <c r="B425" s="166"/>
      <c r="C425" s="166"/>
      <c r="D425" s="155">
        <f t="shared" si="248"/>
        <v>35596.199999999997</v>
      </c>
      <c r="E425" s="166"/>
      <c r="F425" s="166"/>
      <c r="G425" s="166"/>
      <c r="H425" s="166"/>
      <c r="I425" s="166"/>
      <c r="J425" s="166"/>
      <c r="K425" s="166"/>
      <c r="L425" s="155">
        <f t="shared" si="249"/>
        <v>534.89</v>
      </c>
      <c r="M425" s="560">
        <f t="shared" si="247"/>
        <v>1</v>
      </c>
      <c r="N425" s="560">
        <f t="shared" si="247"/>
        <v>1</v>
      </c>
      <c r="O425" s="741">
        <f t="shared" si="247"/>
        <v>62</v>
      </c>
      <c r="P425" s="155">
        <f t="shared" si="247"/>
        <v>1898900</v>
      </c>
      <c r="Q425" s="155">
        <f t="shared" si="250"/>
        <v>341200</v>
      </c>
      <c r="R425" s="189">
        <f>(B425+C425+D425+E425+F425+G425+H425+I425+J425+K425+L425-'Питание норматив'!$K$40)*M425*N425</f>
        <v>1551.0899999999965</v>
      </c>
    </row>
    <row r="426" spans="1:18" ht="57" hidden="1" customHeight="1" outlineLevel="1" collapsed="1" x14ac:dyDescent="0.2">
      <c r="A426" s="173" t="str">
        <f t="shared" si="246"/>
        <v>Присмотр и уход Физические лица льготных категорий, определяемых учредителем От 3 года до 8 лет Группа полного дня</v>
      </c>
      <c r="B426" s="175" t="str">
        <f>B266</f>
        <v>853212О.99.0.БВ23АГ08000</v>
      </c>
      <c r="C426" s="175"/>
      <c r="D426" s="176">
        <f>'Общий 2023'!D16</f>
        <v>35596.199999999997</v>
      </c>
      <c r="E426" s="176"/>
      <c r="F426" s="176"/>
      <c r="G426" s="176"/>
      <c r="H426" s="176"/>
      <c r="I426" s="176"/>
      <c r="J426" s="176"/>
      <c r="K426" s="176"/>
      <c r="L426" s="176">
        <f>'Общий 2023'!L16</f>
        <v>534.89</v>
      </c>
      <c r="M426" s="175"/>
      <c r="N426" s="175"/>
      <c r="O426" s="768">
        <f>SUM(O427:O435)</f>
        <v>186</v>
      </c>
      <c r="P426" s="176">
        <f>SUM(P427:P435)</f>
        <v>2848500</v>
      </c>
      <c r="Q426" s="176">
        <f>SUM(Q427:Q435)</f>
        <v>3871800</v>
      </c>
    </row>
    <row r="427" spans="1:18" ht="12.95" hidden="1" customHeight="1" outlineLevel="2" x14ac:dyDescent="0.2">
      <c r="A427" s="90" t="str">
        <f t="shared" si="246"/>
        <v>МАДОУ ЦРР-детский сад № 2</v>
      </c>
      <c r="B427" s="166"/>
      <c r="C427" s="166"/>
      <c r="D427" s="155">
        <f>$D$426</f>
        <v>35596.199999999997</v>
      </c>
      <c r="E427" s="166"/>
      <c r="F427" s="166"/>
      <c r="G427" s="166"/>
      <c r="H427" s="166"/>
      <c r="I427" s="166"/>
      <c r="J427" s="166"/>
      <c r="K427" s="166"/>
      <c r="L427" s="155">
        <f>$L$426</f>
        <v>534.89</v>
      </c>
      <c r="M427" s="166">
        <f t="shared" ref="M427:P435" si="251">M267</f>
        <v>1</v>
      </c>
      <c r="N427" s="166">
        <f t="shared" si="251"/>
        <v>1</v>
      </c>
      <c r="O427" s="741">
        <f t="shared" si="251"/>
        <v>27</v>
      </c>
      <c r="P427" s="155">
        <f t="shared" si="251"/>
        <v>413500</v>
      </c>
      <c r="Q427" s="155">
        <f>ROUND(ROUND((C427+D427+E427+F427+G427+H427+I427+J427+K427+L427)*M427*N427,2)*O427-P427,-2)</f>
        <v>562000</v>
      </c>
      <c r="R427" s="189">
        <f>(B427+C427+D427+E427+F427+G427+H427+I427+J427+K427+L427-'Питание норматив'!$K$40*50%)*M427*N427</f>
        <v>18841.089999999997</v>
      </c>
    </row>
    <row r="428" spans="1:18" ht="12.95" hidden="1" customHeight="1" outlineLevel="2" x14ac:dyDescent="0.2">
      <c r="A428" s="90" t="str">
        <f t="shared" si="246"/>
        <v>МАДОУ ЦРР-детский сад № 11</v>
      </c>
      <c r="B428" s="166"/>
      <c r="C428" s="166"/>
      <c r="D428" s="155">
        <f t="shared" ref="D428:D435" si="252">$D$426</f>
        <v>35596.199999999997</v>
      </c>
      <c r="E428" s="166"/>
      <c r="F428" s="166"/>
      <c r="G428" s="166"/>
      <c r="H428" s="166"/>
      <c r="I428" s="166"/>
      <c r="J428" s="166"/>
      <c r="K428" s="166"/>
      <c r="L428" s="155">
        <f t="shared" ref="L428:L435" si="253">$L$426</f>
        <v>534.89</v>
      </c>
      <c r="M428" s="349">
        <f t="shared" si="251"/>
        <v>1</v>
      </c>
      <c r="N428" s="349">
        <f t="shared" si="251"/>
        <v>1</v>
      </c>
      <c r="O428" s="741">
        <f t="shared" si="251"/>
        <v>33</v>
      </c>
      <c r="P428" s="155">
        <f t="shared" si="251"/>
        <v>505400</v>
      </c>
      <c r="Q428" s="155">
        <f t="shared" ref="Q428:Q435" si="254">ROUND(ROUND((C428+D428+E428+F428+G428+H428+I428+J428+K428+L428)*M428*N428,2)*O428-P428,-2)</f>
        <v>686900</v>
      </c>
      <c r="R428" s="189">
        <f>(B428+C428+D428+E428+F428+G428+H428+I428+J428+K428+L428-'Питание норматив'!$K$40*50%)*M428*N428</f>
        <v>18841.089999999997</v>
      </c>
    </row>
    <row r="429" spans="1:18" ht="12.95" hidden="1" customHeight="1" outlineLevel="2" x14ac:dyDescent="0.2">
      <c r="A429" s="90" t="str">
        <f t="shared" si="246"/>
        <v>МАДОУ ЦРР-детский сад № 13</v>
      </c>
      <c r="B429" s="166"/>
      <c r="C429" s="166"/>
      <c r="D429" s="155">
        <f t="shared" si="252"/>
        <v>35596.199999999997</v>
      </c>
      <c r="E429" s="166"/>
      <c r="F429" s="166"/>
      <c r="G429" s="166"/>
      <c r="H429" s="166"/>
      <c r="I429" s="166"/>
      <c r="J429" s="166"/>
      <c r="K429" s="166"/>
      <c r="L429" s="155">
        <f t="shared" si="253"/>
        <v>534.89</v>
      </c>
      <c r="M429" s="349">
        <f t="shared" si="251"/>
        <v>1</v>
      </c>
      <c r="N429" s="349">
        <f t="shared" si="251"/>
        <v>1</v>
      </c>
      <c r="O429" s="741">
        <f t="shared" si="251"/>
        <v>76</v>
      </c>
      <c r="P429" s="155">
        <f t="shared" si="251"/>
        <v>1163900</v>
      </c>
      <c r="Q429" s="155">
        <f t="shared" si="254"/>
        <v>1582100</v>
      </c>
      <c r="R429" s="189">
        <f>(B429+C429+D429+E429+F429+G429+H429+I429+J429+K429+L429-'Питание норматив'!$K$40*50%)*M429*N429</f>
        <v>18841.089999999997</v>
      </c>
    </row>
    <row r="430" spans="1:18" ht="34.15" hidden="1" customHeight="1" outlineLevel="2" x14ac:dyDescent="0.2">
      <c r="A430" s="90" t="str">
        <f t="shared" si="246"/>
        <v>МАОУ СОШ № 1 структурное подразделение</v>
      </c>
      <c r="B430" s="166"/>
      <c r="C430" s="166"/>
      <c r="D430" s="155">
        <f t="shared" si="252"/>
        <v>35596.199999999997</v>
      </c>
      <c r="E430" s="166"/>
      <c r="F430" s="166"/>
      <c r="G430" s="166"/>
      <c r="H430" s="166"/>
      <c r="I430" s="166"/>
      <c r="J430" s="166"/>
      <c r="K430" s="166"/>
      <c r="L430" s="155">
        <f t="shared" si="253"/>
        <v>534.89</v>
      </c>
      <c r="M430" s="349">
        <f t="shared" si="251"/>
        <v>1</v>
      </c>
      <c r="N430" s="349">
        <f t="shared" si="251"/>
        <v>1</v>
      </c>
      <c r="O430" s="741">
        <f t="shared" si="251"/>
        <v>14</v>
      </c>
      <c r="P430" s="155">
        <f t="shared" si="251"/>
        <v>214400</v>
      </c>
      <c r="Q430" s="155">
        <f t="shared" si="254"/>
        <v>291400</v>
      </c>
      <c r="R430" s="189">
        <f>(B430+C430+D430+E430+F430+G430+H430+I430+J430+K430+L430-'Питание норматив'!$K$40*50%)*M430*N430</f>
        <v>18841.089999999997</v>
      </c>
    </row>
    <row r="431" spans="1:18" ht="39.6" hidden="1" customHeight="1" outlineLevel="2" x14ac:dyDescent="0.2">
      <c r="A431" s="90" t="str">
        <f t="shared" si="246"/>
        <v>МАОУ СОШ № 2 им.М.И.Грибушина структурное подразделение</v>
      </c>
      <c r="B431" s="166"/>
      <c r="C431" s="166"/>
      <c r="D431" s="155">
        <f t="shared" si="252"/>
        <v>35596.199999999997</v>
      </c>
      <c r="E431" s="166"/>
      <c r="F431" s="166"/>
      <c r="G431" s="166"/>
      <c r="H431" s="166"/>
      <c r="I431" s="166"/>
      <c r="J431" s="166"/>
      <c r="K431" s="166"/>
      <c r="L431" s="155">
        <f t="shared" si="253"/>
        <v>534.89</v>
      </c>
      <c r="M431" s="349">
        <f t="shared" si="251"/>
        <v>1</v>
      </c>
      <c r="N431" s="349">
        <f t="shared" si="251"/>
        <v>1</v>
      </c>
      <c r="O431" s="741">
        <f t="shared" si="251"/>
        <v>12</v>
      </c>
      <c r="P431" s="155">
        <f t="shared" si="251"/>
        <v>183800</v>
      </c>
      <c r="Q431" s="155">
        <f t="shared" si="254"/>
        <v>249800</v>
      </c>
      <c r="R431" s="189">
        <f>(B431+C431+D431+E431+F431+G431+H431+I431+J431+K431+L431-'Питание норматив'!$K$40*50%)*M431*N431</f>
        <v>18841.089999999997</v>
      </c>
    </row>
    <row r="432" spans="1:18" ht="30" hidden="1" customHeight="1" outlineLevel="2" x14ac:dyDescent="0.2">
      <c r="A432" s="90" t="str">
        <f t="shared" si="246"/>
        <v>МАОУ СОШ № 10 структурное подразделение</v>
      </c>
      <c r="B432" s="166"/>
      <c r="C432" s="166"/>
      <c r="D432" s="155">
        <f t="shared" si="252"/>
        <v>35596.199999999997</v>
      </c>
      <c r="E432" s="166"/>
      <c r="F432" s="166"/>
      <c r="G432" s="166"/>
      <c r="H432" s="166"/>
      <c r="I432" s="166"/>
      <c r="J432" s="166"/>
      <c r="K432" s="166"/>
      <c r="L432" s="155">
        <f t="shared" si="253"/>
        <v>534.89</v>
      </c>
      <c r="M432" s="349">
        <f t="shared" si="251"/>
        <v>1</v>
      </c>
      <c r="N432" s="349">
        <f t="shared" si="251"/>
        <v>1</v>
      </c>
      <c r="O432" s="741">
        <f t="shared" si="251"/>
        <v>8</v>
      </c>
      <c r="P432" s="155">
        <f t="shared" si="251"/>
        <v>122500</v>
      </c>
      <c r="Q432" s="155">
        <f t="shared" si="254"/>
        <v>166500</v>
      </c>
      <c r="R432" s="189">
        <f>(B432+C432+D432+E432+F432+G432+H432+I432+J432+K432+L432-'Питание норматив'!$K$40*50%)*M432*N432</f>
        <v>18841.089999999997</v>
      </c>
    </row>
    <row r="433" spans="1:18" ht="28.9" hidden="1" customHeight="1" outlineLevel="2" x14ac:dyDescent="0.2">
      <c r="A433" s="90" t="str">
        <f t="shared" si="246"/>
        <v>МАОУ СОШ № 13 структурное подразделение</v>
      </c>
      <c r="B433" s="349"/>
      <c r="C433" s="349"/>
      <c r="D433" s="155">
        <f t="shared" si="252"/>
        <v>35596.199999999997</v>
      </c>
      <c r="E433" s="349"/>
      <c r="F433" s="349"/>
      <c r="G433" s="349"/>
      <c r="H433" s="349"/>
      <c r="I433" s="349"/>
      <c r="J433" s="349"/>
      <c r="K433" s="349"/>
      <c r="L433" s="155">
        <f t="shared" si="253"/>
        <v>534.89</v>
      </c>
      <c r="M433" s="349">
        <f t="shared" si="251"/>
        <v>1</v>
      </c>
      <c r="N433" s="349">
        <f t="shared" si="251"/>
        <v>1</v>
      </c>
      <c r="O433" s="741">
        <f t="shared" si="251"/>
        <v>5</v>
      </c>
      <c r="P433" s="155">
        <f t="shared" si="251"/>
        <v>76600</v>
      </c>
      <c r="Q433" s="155">
        <f t="shared" si="254"/>
        <v>104100</v>
      </c>
      <c r="R433" s="189">
        <f>(B433+C433+D433+E433+F433+G433+H433+I433+J433+K433+L433-'Питание норматив'!$K$40*50%)*M433*N433</f>
        <v>18841.089999999997</v>
      </c>
    </row>
    <row r="434" spans="1:18" ht="34.15" hidden="1" customHeight="1" outlineLevel="2" x14ac:dyDescent="0.2">
      <c r="A434" s="90" t="str">
        <f t="shared" si="246"/>
        <v>Гимназия № 16 структурное подразделение</v>
      </c>
      <c r="B434" s="166"/>
      <c r="C434" s="166"/>
      <c r="D434" s="155">
        <f t="shared" si="252"/>
        <v>35596.199999999997</v>
      </c>
      <c r="E434" s="166"/>
      <c r="F434" s="166"/>
      <c r="G434" s="166"/>
      <c r="H434" s="166"/>
      <c r="I434" s="166"/>
      <c r="J434" s="166"/>
      <c r="K434" s="166"/>
      <c r="L434" s="155">
        <f t="shared" si="253"/>
        <v>534.89</v>
      </c>
      <c r="M434" s="349">
        <f t="shared" si="251"/>
        <v>1</v>
      </c>
      <c r="N434" s="349">
        <f t="shared" si="251"/>
        <v>1</v>
      </c>
      <c r="O434" s="741">
        <f t="shared" si="251"/>
        <v>10</v>
      </c>
      <c r="P434" s="155">
        <f t="shared" si="251"/>
        <v>153100</v>
      </c>
      <c r="Q434" s="155">
        <f t="shared" si="254"/>
        <v>208200</v>
      </c>
      <c r="R434" s="189">
        <f>(B434+C434+D434+E434+F434+G434+H434+I434+J434+K434+L434-'Питание норматив'!$K$40*50%)*M434*N434</f>
        <v>18841.089999999997</v>
      </c>
    </row>
    <row r="435" spans="1:18" ht="49.9" hidden="1" customHeight="1" outlineLevel="2" x14ac:dyDescent="0.2">
      <c r="A435" s="90" t="str">
        <f t="shared" si="246"/>
        <v>МАОУ ООШ № 17 с кадетскими классами структурное подразделение</v>
      </c>
      <c r="B435" s="166"/>
      <c r="C435" s="166"/>
      <c r="D435" s="155">
        <f t="shared" si="252"/>
        <v>35596.199999999997</v>
      </c>
      <c r="E435" s="166"/>
      <c r="F435" s="166"/>
      <c r="G435" s="166"/>
      <c r="H435" s="166"/>
      <c r="I435" s="166"/>
      <c r="J435" s="166"/>
      <c r="K435" s="166"/>
      <c r="L435" s="155">
        <f t="shared" si="253"/>
        <v>534.89</v>
      </c>
      <c r="M435" s="349">
        <f t="shared" si="251"/>
        <v>1</v>
      </c>
      <c r="N435" s="349">
        <f t="shared" si="251"/>
        <v>1</v>
      </c>
      <c r="O435" s="741">
        <f t="shared" si="251"/>
        <v>1</v>
      </c>
      <c r="P435" s="155">
        <f t="shared" si="251"/>
        <v>15300</v>
      </c>
      <c r="Q435" s="155">
        <f t="shared" si="254"/>
        <v>20800</v>
      </c>
      <c r="R435" s="189">
        <f>(B435+C435+D435+E435+F435+G435+H435+I435+J435+K435+L435-'Питание норматив'!$K$40*50%)*M435*N435</f>
        <v>18841.089999999997</v>
      </c>
    </row>
    <row r="436" spans="1:18" ht="58.5" hidden="1" customHeight="1" outlineLevel="1" collapsed="1" x14ac:dyDescent="0.2">
      <c r="A436" s="173" t="str">
        <f t="shared" si="246"/>
        <v>Присмотр и уход Дети-сироты и дети, оставшиеся без попечения родителей От 3 лет до 8 лет Группа полного дня</v>
      </c>
      <c r="B436" s="175" t="str">
        <f>B276</f>
        <v>853211О.99.0.БВ19АА98000</v>
      </c>
      <c r="C436" s="175"/>
      <c r="D436" s="176">
        <f>'Общий 2023'!D18</f>
        <v>35596.199999999997</v>
      </c>
      <c r="E436" s="176"/>
      <c r="F436" s="176"/>
      <c r="G436" s="176"/>
      <c r="H436" s="176"/>
      <c r="I436" s="176"/>
      <c r="J436" s="176"/>
      <c r="K436" s="176"/>
      <c r="L436" s="176">
        <f>'Общий 2023'!L18</f>
        <v>534.89</v>
      </c>
      <c r="M436" s="175"/>
      <c r="N436" s="175"/>
      <c r="O436" s="768">
        <f>SUM(O437:O445)</f>
        <v>24</v>
      </c>
      <c r="P436" s="176">
        <f>SUM(P437:P445)</f>
        <v>0</v>
      </c>
      <c r="Q436" s="176">
        <f>SUM(Q437:Q445)</f>
        <v>867000</v>
      </c>
    </row>
    <row r="437" spans="1:18" ht="12.95" hidden="1" customHeight="1" outlineLevel="2" x14ac:dyDescent="0.2">
      <c r="A437" s="90" t="str">
        <f t="shared" si="246"/>
        <v>МАДОУ ЦРР-детский сад № 2</v>
      </c>
      <c r="B437" s="166"/>
      <c r="C437" s="166"/>
      <c r="D437" s="155">
        <f>$D$436</f>
        <v>35596.199999999997</v>
      </c>
      <c r="E437" s="166"/>
      <c r="F437" s="166"/>
      <c r="G437" s="166"/>
      <c r="H437" s="166"/>
      <c r="I437" s="166"/>
      <c r="J437" s="166"/>
      <c r="K437" s="166"/>
      <c r="L437" s="155">
        <f>$L$436</f>
        <v>534.89</v>
      </c>
      <c r="M437" s="166">
        <f t="shared" ref="M437:O445" si="255">M277</f>
        <v>1</v>
      </c>
      <c r="N437" s="166">
        <f t="shared" si="255"/>
        <v>1</v>
      </c>
      <c r="O437" s="741">
        <f t="shared" si="255"/>
        <v>4</v>
      </c>
      <c r="P437" s="155"/>
      <c r="Q437" s="155">
        <f>ROUND(ROUND((C437+D437+E437+F437+G437+H437+I437+J437+K437+L437)*M437*N437,2)*O437-P437,-2)</f>
        <v>144500</v>
      </c>
      <c r="R437" s="189">
        <f>(B437+C437+D437+E437+F437+G437+H437+I437+J437+K437+L437)*M437*N437</f>
        <v>36131.089999999997</v>
      </c>
    </row>
    <row r="438" spans="1:18" ht="12.95" hidden="1" customHeight="1" outlineLevel="2" x14ac:dyDescent="0.2">
      <c r="A438" s="90" t="str">
        <f t="shared" si="246"/>
        <v>МАДОУ ЦРР-детский сад № 11</v>
      </c>
      <c r="B438" s="166"/>
      <c r="C438" s="166"/>
      <c r="D438" s="155">
        <f t="shared" ref="D438:D445" si="256">$D$436</f>
        <v>35596.199999999997</v>
      </c>
      <c r="E438" s="166"/>
      <c r="F438" s="166"/>
      <c r="G438" s="166"/>
      <c r="H438" s="166"/>
      <c r="I438" s="166"/>
      <c r="J438" s="166"/>
      <c r="K438" s="166"/>
      <c r="L438" s="155">
        <f t="shared" ref="L438:L445" si="257">$L$436</f>
        <v>534.89</v>
      </c>
      <c r="M438" s="349">
        <f t="shared" si="255"/>
        <v>1</v>
      </c>
      <c r="N438" s="349">
        <f t="shared" si="255"/>
        <v>1</v>
      </c>
      <c r="O438" s="741">
        <f t="shared" si="255"/>
        <v>4</v>
      </c>
      <c r="P438" s="155"/>
      <c r="Q438" s="155">
        <f t="shared" ref="Q438:Q445" si="258">ROUND(ROUND((C438+D438+E438+F438+G438+H438+I438+J438+K438+L438)*M438*N438,2)*O438-P438,-2)</f>
        <v>144500</v>
      </c>
      <c r="R438" s="189">
        <f t="shared" ref="R438:R445" si="259">(B438+C438+D438+E438+F438+G438+H438+I438+J438+K438+L438)*M438*N438</f>
        <v>36131.089999999997</v>
      </c>
    </row>
    <row r="439" spans="1:18" ht="12.95" hidden="1" customHeight="1" outlineLevel="2" x14ac:dyDescent="0.2">
      <c r="A439" s="90" t="str">
        <f t="shared" si="246"/>
        <v>МАДОУ ЦРР-детский сад № 13</v>
      </c>
      <c r="B439" s="166"/>
      <c r="C439" s="166"/>
      <c r="D439" s="155">
        <f t="shared" si="256"/>
        <v>35596.199999999997</v>
      </c>
      <c r="E439" s="166"/>
      <c r="F439" s="166"/>
      <c r="G439" s="166"/>
      <c r="H439" s="166"/>
      <c r="I439" s="166"/>
      <c r="J439" s="166"/>
      <c r="K439" s="166"/>
      <c r="L439" s="155">
        <f t="shared" si="257"/>
        <v>534.89</v>
      </c>
      <c r="M439" s="349">
        <f t="shared" si="255"/>
        <v>1</v>
      </c>
      <c r="N439" s="349">
        <f t="shared" si="255"/>
        <v>1</v>
      </c>
      <c r="O439" s="741">
        <f t="shared" si="255"/>
        <v>1</v>
      </c>
      <c r="P439" s="155"/>
      <c r="Q439" s="155">
        <f t="shared" si="258"/>
        <v>36100</v>
      </c>
      <c r="R439" s="189">
        <f t="shared" si="259"/>
        <v>36131.089999999997</v>
      </c>
    </row>
    <row r="440" spans="1:18" ht="26.45" hidden="1" customHeight="1" outlineLevel="2" x14ac:dyDescent="0.2">
      <c r="A440" s="90" t="str">
        <f t="shared" si="246"/>
        <v>МАОУ СОШ № 1 структурное подразделение</v>
      </c>
      <c r="B440" s="166"/>
      <c r="C440" s="166"/>
      <c r="D440" s="155">
        <f t="shared" si="256"/>
        <v>35596.199999999997</v>
      </c>
      <c r="E440" s="166"/>
      <c r="F440" s="166"/>
      <c r="G440" s="166"/>
      <c r="H440" s="166"/>
      <c r="I440" s="166"/>
      <c r="J440" s="166"/>
      <c r="K440" s="166"/>
      <c r="L440" s="155">
        <f t="shared" si="257"/>
        <v>534.89</v>
      </c>
      <c r="M440" s="349">
        <f t="shared" si="255"/>
        <v>1</v>
      </c>
      <c r="N440" s="349">
        <f t="shared" si="255"/>
        <v>1</v>
      </c>
      <c r="O440" s="741">
        <f t="shared" si="255"/>
        <v>1</v>
      </c>
      <c r="P440" s="155"/>
      <c r="Q440" s="155">
        <f t="shared" si="258"/>
        <v>36100</v>
      </c>
      <c r="R440" s="189">
        <f t="shared" si="259"/>
        <v>36131.089999999997</v>
      </c>
    </row>
    <row r="441" spans="1:18" ht="39" hidden="1" customHeight="1" outlineLevel="2" x14ac:dyDescent="0.2">
      <c r="A441" s="90" t="str">
        <f t="shared" si="246"/>
        <v>МАОУ СОШ № 2 им.М.И.Грибушина структурное подразделение</v>
      </c>
      <c r="B441" s="166"/>
      <c r="C441" s="166"/>
      <c r="D441" s="155">
        <f t="shared" si="256"/>
        <v>35596.199999999997</v>
      </c>
      <c r="E441" s="166"/>
      <c r="F441" s="166"/>
      <c r="G441" s="166"/>
      <c r="H441" s="166"/>
      <c r="I441" s="166"/>
      <c r="J441" s="166"/>
      <c r="K441" s="166"/>
      <c r="L441" s="155">
        <f t="shared" si="257"/>
        <v>534.89</v>
      </c>
      <c r="M441" s="349">
        <f t="shared" si="255"/>
        <v>1</v>
      </c>
      <c r="N441" s="349">
        <f t="shared" si="255"/>
        <v>1</v>
      </c>
      <c r="O441" s="741">
        <f t="shared" si="255"/>
        <v>4</v>
      </c>
      <c r="P441" s="155"/>
      <c r="Q441" s="155">
        <f t="shared" si="258"/>
        <v>144500</v>
      </c>
      <c r="R441" s="189">
        <f t="shared" si="259"/>
        <v>36131.089999999997</v>
      </c>
    </row>
    <row r="442" spans="1:18" ht="28.15" hidden="1" customHeight="1" outlineLevel="2" x14ac:dyDescent="0.2">
      <c r="A442" s="90" t="str">
        <f t="shared" si="246"/>
        <v>МАОУ СОШ № 10 структурное подразделение</v>
      </c>
      <c r="B442" s="166"/>
      <c r="C442" s="166"/>
      <c r="D442" s="155">
        <f t="shared" si="256"/>
        <v>35596.199999999997</v>
      </c>
      <c r="E442" s="166"/>
      <c r="F442" s="166"/>
      <c r="G442" s="166"/>
      <c r="H442" s="166"/>
      <c r="I442" s="166"/>
      <c r="J442" s="166"/>
      <c r="K442" s="166"/>
      <c r="L442" s="155">
        <f t="shared" si="257"/>
        <v>534.89</v>
      </c>
      <c r="M442" s="349">
        <f t="shared" si="255"/>
        <v>1</v>
      </c>
      <c r="N442" s="349">
        <f t="shared" si="255"/>
        <v>1</v>
      </c>
      <c r="O442" s="741">
        <f t="shared" si="255"/>
        <v>1</v>
      </c>
      <c r="P442" s="155"/>
      <c r="Q442" s="155">
        <f t="shared" si="258"/>
        <v>36100</v>
      </c>
      <c r="R442" s="189">
        <f t="shared" si="259"/>
        <v>36131.089999999997</v>
      </c>
    </row>
    <row r="443" spans="1:18" ht="27.6" hidden="1" customHeight="1" outlineLevel="2" x14ac:dyDescent="0.2">
      <c r="A443" s="90" t="str">
        <f t="shared" si="246"/>
        <v>МАОУ СОШ № 13 структурное подразделение</v>
      </c>
      <c r="B443" s="166"/>
      <c r="C443" s="166"/>
      <c r="D443" s="155">
        <f t="shared" si="256"/>
        <v>35596.199999999997</v>
      </c>
      <c r="E443" s="166"/>
      <c r="F443" s="166"/>
      <c r="G443" s="166"/>
      <c r="H443" s="166"/>
      <c r="I443" s="166"/>
      <c r="J443" s="166"/>
      <c r="K443" s="166"/>
      <c r="L443" s="155">
        <f t="shared" si="257"/>
        <v>534.89</v>
      </c>
      <c r="M443" s="349">
        <f t="shared" si="255"/>
        <v>1</v>
      </c>
      <c r="N443" s="349">
        <f t="shared" si="255"/>
        <v>1</v>
      </c>
      <c r="O443" s="741">
        <f t="shared" si="255"/>
        <v>3</v>
      </c>
      <c r="P443" s="155"/>
      <c r="Q443" s="155">
        <f t="shared" si="258"/>
        <v>108400</v>
      </c>
      <c r="R443" s="189">
        <f t="shared" si="259"/>
        <v>36131.089999999997</v>
      </c>
    </row>
    <row r="444" spans="1:18" ht="28.15" hidden="1" customHeight="1" outlineLevel="2" x14ac:dyDescent="0.2">
      <c r="A444" s="90" t="str">
        <f t="shared" si="246"/>
        <v>Гимназия № 16 структурное подразделение</v>
      </c>
      <c r="B444" s="349"/>
      <c r="C444" s="349"/>
      <c r="D444" s="155">
        <f t="shared" si="256"/>
        <v>35596.199999999997</v>
      </c>
      <c r="E444" s="349"/>
      <c r="F444" s="349"/>
      <c r="G444" s="349"/>
      <c r="H444" s="349"/>
      <c r="I444" s="349"/>
      <c r="J444" s="349"/>
      <c r="K444" s="349"/>
      <c r="L444" s="155">
        <f t="shared" si="257"/>
        <v>534.89</v>
      </c>
      <c r="M444" s="349">
        <f t="shared" si="255"/>
        <v>1</v>
      </c>
      <c r="N444" s="349">
        <f t="shared" si="255"/>
        <v>1</v>
      </c>
      <c r="O444" s="741">
        <f t="shared" si="255"/>
        <v>5</v>
      </c>
      <c r="P444" s="155"/>
      <c r="Q444" s="155">
        <f t="shared" si="258"/>
        <v>180700</v>
      </c>
      <c r="R444" s="189">
        <f t="shared" si="259"/>
        <v>36131.089999999997</v>
      </c>
    </row>
    <row r="445" spans="1:18" ht="42.6" hidden="1" customHeight="1" outlineLevel="2" x14ac:dyDescent="0.2">
      <c r="A445" s="90" t="str">
        <f t="shared" ref="A445:A465" si="260">A285</f>
        <v>МАОУ ООШ № 17 с кадетскими классами структурное подразделение</v>
      </c>
      <c r="B445" s="349"/>
      <c r="C445" s="349"/>
      <c r="D445" s="155">
        <f t="shared" si="256"/>
        <v>35596.199999999997</v>
      </c>
      <c r="E445" s="349"/>
      <c r="F445" s="349"/>
      <c r="G445" s="349"/>
      <c r="H445" s="349"/>
      <c r="I445" s="349"/>
      <c r="J445" s="349"/>
      <c r="K445" s="349"/>
      <c r="L445" s="155">
        <f t="shared" si="257"/>
        <v>534.89</v>
      </c>
      <c r="M445" s="349">
        <f t="shared" si="255"/>
        <v>1</v>
      </c>
      <c r="N445" s="349">
        <f t="shared" si="255"/>
        <v>1</v>
      </c>
      <c r="O445" s="741">
        <f t="shared" si="255"/>
        <v>1</v>
      </c>
      <c r="P445" s="155"/>
      <c r="Q445" s="155">
        <f t="shared" si="258"/>
        <v>36100</v>
      </c>
      <c r="R445" s="189">
        <f t="shared" si="259"/>
        <v>36131.089999999997</v>
      </c>
    </row>
    <row r="446" spans="1:18" ht="42.75" hidden="1" customHeight="1" outlineLevel="1" collapsed="1" x14ac:dyDescent="0.2">
      <c r="A446" s="173" t="str">
        <f t="shared" si="260"/>
        <v>Присмотр и уход Дети-инвалиды От 3 лет до 8 лет группа полного дня</v>
      </c>
      <c r="B446" s="174" t="str">
        <f>B286</f>
        <v>853211О.99.0.БВ19АА14000</v>
      </c>
      <c r="C446" s="175"/>
      <c r="D446" s="176">
        <f>'Общий 2023'!D19</f>
        <v>35596.199999999997</v>
      </c>
      <c r="E446" s="176"/>
      <c r="F446" s="176"/>
      <c r="G446" s="176"/>
      <c r="H446" s="176"/>
      <c r="I446" s="176"/>
      <c r="J446" s="176"/>
      <c r="K446" s="176"/>
      <c r="L446" s="176">
        <f>'Общий 2023'!L19</f>
        <v>534.89</v>
      </c>
      <c r="M446" s="175"/>
      <c r="N446" s="175"/>
      <c r="O446" s="768">
        <f>SUM(O447:O455)</f>
        <v>11</v>
      </c>
      <c r="P446" s="176">
        <f>SUM(P447:P455)</f>
        <v>0</v>
      </c>
      <c r="Q446" s="176">
        <f>SUM(Q447:Q455)</f>
        <v>397400</v>
      </c>
    </row>
    <row r="447" spans="1:18" ht="12.95" hidden="1" customHeight="1" outlineLevel="2" x14ac:dyDescent="0.2">
      <c r="A447" s="90" t="str">
        <f t="shared" si="260"/>
        <v>МАДОУ ЦРР-детский сад № 2</v>
      </c>
      <c r="B447" s="464"/>
      <c r="C447" s="464"/>
      <c r="D447" s="155">
        <f>$D$446</f>
        <v>35596.199999999997</v>
      </c>
      <c r="E447" s="464"/>
      <c r="F447" s="464"/>
      <c r="G447" s="464"/>
      <c r="H447" s="464"/>
      <c r="I447" s="464"/>
      <c r="J447" s="464"/>
      <c r="K447" s="464"/>
      <c r="L447" s="155">
        <f>$L$446</f>
        <v>534.89</v>
      </c>
      <c r="M447" s="464">
        <f t="shared" ref="M447:O455" si="261">M287</f>
        <v>1</v>
      </c>
      <c r="N447" s="464">
        <f t="shared" si="261"/>
        <v>1</v>
      </c>
      <c r="O447" s="741">
        <f t="shared" si="261"/>
        <v>2</v>
      </c>
      <c r="P447" s="155"/>
      <c r="Q447" s="155">
        <f>ROUND(ROUND((C447+D447+E447+F447+G447+H447+I447+J447+K447+L447)*M447*N447,2)*O447-P447,-2)</f>
        <v>72300</v>
      </c>
      <c r="R447" s="189">
        <f>(B447+C447+D447+E447+F447+G447+H447+I447+J447+K447+L447)*M447*N447</f>
        <v>36131.089999999997</v>
      </c>
    </row>
    <row r="448" spans="1:18" ht="12.95" hidden="1" customHeight="1" outlineLevel="2" x14ac:dyDescent="0.2">
      <c r="A448" s="90" t="str">
        <f t="shared" si="260"/>
        <v>МАДОУ ЦРР-детский сад № 11</v>
      </c>
      <c r="B448" s="464"/>
      <c r="C448" s="464"/>
      <c r="D448" s="155">
        <f t="shared" ref="D448:D455" si="262">$D$446</f>
        <v>35596.199999999997</v>
      </c>
      <c r="E448" s="464"/>
      <c r="F448" s="464"/>
      <c r="G448" s="464"/>
      <c r="H448" s="464"/>
      <c r="I448" s="464"/>
      <c r="J448" s="464"/>
      <c r="K448" s="464"/>
      <c r="L448" s="155">
        <f t="shared" ref="L448:L455" si="263">$L$446</f>
        <v>534.89</v>
      </c>
      <c r="M448" s="464">
        <f t="shared" si="261"/>
        <v>1</v>
      </c>
      <c r="N448" s="464">
        <f t="shared" si="261"/>
        <v>1</v>
      </c>
      <c r="O448" s="741">
        <f t="shared" si="261"/>
        <v>1</v>
      </c>
      <c r="P448" s="155"/>
      <c r="Q448" s="155">
        <f t="shared" ref="Q448:Q455" si="264">ROUND(ROUND((C448+D448+E448+F448+G448+H448+I448+J448+K448+L448)*M448*N448,2)*O448-P448,-2)</f>
        <v>36100</v>
      </c>
      <c r="R448" s="189">
        <f t="shared" ref="R448:R455" si="265">(B448+C448+D448+E448+F448+G448+H448+I448+J448+K448+L448)*M448*N448</f>
        <v>36131.089999999997</v>
      </c>
    </row>
    <row r="449" spans="1:18" ht="12.95" hidden="1" customHeight="1" outlineLevel="2" x14ac:dyDescent="0.2">
      <c r="A449" s="90" t="str">
        <f t="shared" si="260"/>
        <v>МАДОУ ЦРР-детский сад № 13</v>
      </c>
      <c r="B449" s="464"/>
      <c r="C449" s="464"/>
      <c r="D449" s="155">
        <f t="shared" si="262"/>
        <v>35596.199999999997</v>
      </c>
      <c r="E449" s="464"/>
      <c r="F449" s="464"/>
      <c r="G449" s="464"/>
      <c r="H449" s="464"/>
      <c r="I449" s="464"/>
      <c r="J449" s="464"/>
      <c r="K449" s="464"/>
      <c r="L449" s="155">
        <f t="shared" si="263"/>
        <v>534.89</v>
      </c>
      <c r="M449" s="464">
        <f t="shared" si="261"/>
        <v>1</v>
      </c>
      <c r="N449" s="464">
        <f t="shared" si="261"/>
        <v>1</v>
      </c>
      <c r="O449" s="741">
        <f t="shared" si="261"/>
        <v>4</v>
      </c>
      <c r="P449" s="155"/>
      <c r="Q449" s="155">
        <f t="shared" si="264"/>
        <v>144500</v>
      </c>
      <c r="R449" s="189">
        <f t="shared" si="265"/>
        <v>36131.089999999997</v>
      </c>
    </row>
    <row r="450" spans="1:18" ht="26.45" hidden="1" customHeight="1" outlineLevel="2" x14ac:dyDescent="0.2">
      <c r="A450" s="90" t="str">
        <f t="shared" si="260"/>
        <v>МАОУ СОШ № 1 структурное подразделение</v>
      </c>
      <c r="B450" s="464"/>
      <c r="C450" s="464"/>
      <c r="D450" s="155">
        <f t="shared" si="262"/>
        <v>35596.199999999997</v>
      </c>
      <c r="E450" s="464"/>
      <c r="F450" s="464"/>
      <c r="G450" s="464"/>
      <c r="H450" s="464"/>
      <c r="I450" s="464"/>
      <c r="J450" s="464"/>
      <c r="K450" s="464"/>
      <c r="L450" s="155">
        <f t="shared" si="263"/>
        <v>534.89</v>
      </c>
      <c r="M450" s="464">
        <f t="shared" si="261"/>
        <v>1</v>
      </c>
      <c r="N450" s="464">
        <f t="shared" si="261"/>
        <v>1</v>
      </c>
      <c r="O450" s="741">
        <f t="shared" si="261"/>
        <v>1</v>
      </c>
      <c r="P450" s="155"/>
      <c r="Q450" s="155">
        <f t="shared" si="264"/>
        <v>36100</v>
      </c>
      <c r="R450" s="189">
        <f t="shared" si="265"/>
        <v>36131.089999999997</v>
      </c>
    </row>
    <row r="451" spans="1:18" ht="39" hidden="1" customHeight="1" outlineLevel="2" x14ac:dyDescent="0.2">
      <c r="A451" s="90" t="str">
        <f t="shared" si="260"/>
        <v>МАОУ СОШ № 2 им.М.И.Грибушина структурное подразделение</v>
      </c>
      <c r="B451" s="464"/>
      <c r="C451" s="464"/>
      <c r="D451" s="155">
        <f t="shared" si="262"/>
        <v>35596.199999999997</v>
      </c>
      <c r="E451" s="464"/>
      <c r="F451" s="464"/>
      <c r="G451" s="464"/>
      <c r="H451" s="464"/>
      <c r="I451" s="464"/>
      <c r="J451" s="464"/>
      <c r="K451" s="464"/>
      <c r="L451" s="155">
        <f t="shared" si="263"/>
        <v>534.89</v>
      </c>
      <c r="M451" s="464">
        <f t="shared" si="261"/>
        <v>1</v>
      </c>
      <c r="N451" s="464">
        <f t="shared" si="261"/>
        <v>1</v>
      </c>
      <c r="O451" s="741">
        <f t="shared" si="261"/>
        <v>0</v>
      </c>
      <c r="P451" s="155"/>
      <c r="Q451" s="155">
        <f t="shared" si="264"/>
        <v>0</v>
      </c>
      <c r="R451" s="189">
        <f t="shared" si="265"/>
        <v>36131.089999999997</v>
      </c>
    </row>
    <row r="452" spans="1:18" ht="26.45" hidden="1" customHeight="1" outlineLevel="2" x14ac:dyDescent="0.2">
      <c r="A452" s="90" t="str">
        <f t="shared" si="260"/>
        <v>МАОУ СОШ № 10 структурное подразделение</v>
      </c>
      <c r="B452" s="464"/>
      <c r="C452" s="464"/>
      <c r="D452" s="155">
        <f t="shared" si="262"/>
        <v>35596.199999999997</v>
      </c>
      <c r="E452" s="464"/>
      <c r="F452" s="464"/>
      <c r="G452" s="464"/>
      <c r="H452" s="464"/>
      <c r="I452" s="464"/>
      <c r="J452" s="464"/>
      <c r="K452" s="464"/>
      <c r="L452" s="155">
        <f t="shared" si="263"/>
        <v>534.89</v>
      </c>
      <c r="M452" s="464">
        <f t="shared" si="261"/>
        <v>1</v>
      </c>
      <c r="N452" s="464">
        <f t="shared" si="261"/>
        <v>1</v>
      </c>
      <c r="O452" s="741">
        <f t="shared" si="261"/>
        <v>0</v>
      </c>
      <c r="P452" s="155"/>
      <c r="Q452" s="155">
        <f t="shared" si="264"/>
        <v>0</v>
      </c>
      <c r="R452" s="189">
        <f t="shared" si="265"/>
        <v>36131.089999999997</v>
      </c>
    </row>
    <row r="453" spans="1:18" ht="26.45" hidden="1" customHeight="1" outlineLevel="2" x14ac:dyDescent="0.2">
      <c r="A453" s="90" t="str">
        <f t="shared" si="260"/>
        <v>МАОУ СОШ № 13 структурное подразделение</v>
      </c>
      <c r="B453" s="464"/>
      <c r="C453" s="464"/>
      <c r="D453" s="155">
        <f t="shared" si="262"/>
        <v>35596.199999999997</v>
      </c>
      <c r="E453" s="464"/>
      <c r="F453" s="464"/>
      <c r="G453" s="464"/>
      <c r="H453" s="464"/>
      <c r="I453" s="464"/>
      <c r="J453" s="464"/>
      <c r="K453" s="464"/>
      <c r="L453" s="155">
        <f t="shared" si="263"/>
        <v>534.89</v>
      </c>
      <c r="M453" s="464">
        <f t="shared" si="261"/>
        <v>1</v>
      </c>
      <c r="N453" s="464">
        <f t="shared" si="261"/>
        <v>1</v>
      </c>
      <c r="O453" s="741">
        <f t="shared" si="261"/>
        <v>0</v>
      </c>
      <c r="P453" s="155"/>
      <c r="Q453" s="155">
        <f t="shared" si="264"/>
        <v>0</v>
      </c>
      <c r="R453" s="189">
        <f t="shared" si="265"/>
        <v>36131.089999999997</v>
      </c>
    </row>
    <row r="454" spans="1:18" ht="27" hidden="1" customHeight="1" outlineLevel="2" x14ac:dyDescent="0.2">
      <c r="A454" s="90" t="str">
        <f t="shared" si="260"/>
        <v>Гимназия № 16 структурное подразделение</v>
      </c>
      <c r="B454" s="464"/>
      <c r="C454" s="464"/>
      <c r="D454" s="155">
        <f t="shared" si="262"/>
        <v>35596.199999999997</v>
      </c>
      <c r="E454" s="464"/>
      <c r="F454" s="464"/>
      <c r="G454" s="464"/>
      <c r="H454" s="464"/>
      <c r="I454" s="464"/>
      <c r="J454" s="464"/>
      <c r="K454" s="464"/>
      <c r="L454" s="155">
        <f t="shared" si="263"/>
        <v>534.89</v>
      </c>
      <c r="M454" s="464">
        <f t="shared" si="261"/>
        <v>1</v>
      </c>
      <c r="N454" s="464">
        <f t="shared" si="261"/>
        <v>1</v>
      </c>
      <c r="O454" s="741">
        <f t="shared" si="261"/>
        <v>2</v>
      </c>
      <c r="P454" s="155"/>
      <c r="Q454" s="155">
        <f t="shared" si="264"/>
        <v>72300</v>
      </c>
      <c r="R454" s="189">
        <f t="shared" si="265"/>
        <v>36131.089999999997</v>
      </c>
    </row>
    <row r="455" spans="1:18" ht="45" hidden="1" customHeight="1" outlineLevel="2" x14ac:dyDescent="0.2">
      <c r="A455" s="90" t="str">
        <f t="shared" si="260"/>
        <v>МАОУ ООШ № 17 с кадетскими классами структурное подразделение</v>
      </c>
      <c r="B455" s="464"/>
      <c r="C455" s="464"/>
      <c r="D455" s="155">
        <f t="shared" si="262"/>
        <v>35596.199999999997</v>
      </c>
      <c r="E455" s="464"/>
      <c r="F455" s="464"/>
      <c r="G455" s="464"/>
      <c r="H455" s="464"/>
      <c r="I455" s="464"/>
      <c r="J455" s="464"/>
      <c r="K455" s="464"/>
      <c r="L455" s="155">
        <f t="shared" si="263"/>
        <v>534.89</v>
      </c>
      <c r="M455" s="464">
        <f t="shared" si="261"/>
        <v>1</v>
      </c>
      <c r="N455" s="464">
        <f t="shared" si="261"/>
        <v>1</v>
      </c>
      <c r="O455" s="741">
        <f t="shared" si="261"/>
        <v>1</v>
      </c>
      <c r="P455" s="155"/>
      <c r="Q455" s="155">
        <f t="shared" si="264"/>
        <v>36100</v>
      </c>
      <c r="R455" s="189">
        <f t="shared" si="265"/>
        <v>36131.089999999997</v>
      </c>
    </row>
    <row r="456" spans="1:18" ht="42.75" hidden="1" customHeight="1" outlineLevel="1" collapsed="1" x14ac:dyDescent="0.2">
      <c r="A456" s="173" t="str">
        <f t="shared" si="260"/>
        <v>Присмотр и уход Дети с туберкулезной интоксикацией От 3 лет до 8 лет группа полного дня</v>
      </c>
      <c r="B456" s="174" t="str">
        <f>B296</f>
        <v>853211О.99.0.БВ19АБ40000</v>
      </c>
      <c r="C456" s="175"/>
      <c r="D456" s="176">
        <f>'Общий 2023'!D17</f>
        <v>35596.199999999997</v>
      </c>
      <c r="E456" s="176"/>
      <c r="F456" s="176"/>
      <c r="G456" s="176"/>
      <c r="H456" s="176"/>
      <c r="I456" s="176"/>
      <c r="J456" s="176"/>
      <c r="K456" s="176"/>
      <c r="L456" s="176">
        <f>'Общий 2023'!L17</f>
        <v>534.89</v>
      </c>
      <c r="M456" s="175"/>
      <c r="N456" s="175"/>
      <c r="O456" s="768" t="e">
        <f>SUM(O457:O465)</f>
        <v>#REF!</v>
      </c>
      <c r="P456" s="176">
        <f>SUM(P457:P465)</f>
        <v>0</v>
      </c>
      <c r="Q456" s="176" t="e">
        <f>SUM(Q457:Q465)</f>
        <v>#REF!</v>
      </c>
    </row>
    <row r="457" spans="1:18" ht="12.95" hidden="1" customHeight="1" outlineLevel="2" x14ac:dyDescent="0.2">
      <c r="A457" s="90" t="str">
        <f t="shared" si="260"/>
        <v>МАДОУ ЦРР-детский сад № 2</v>
      </c>
      <c r="B457" s="349"/>
      <c r="C457" s="349"/>
      <c r="D457" s="155">
        <f>$D$456</f>
        <v>35596.199999999997</v>
      </c>
      <c r="E457" s="349"/>
      <c r="F457" s="349"/>
      <c r="G457" s="349"/>
      <c r="H457" s="349"/>
      <c r="I457" s="349"/>
      <c r="J457" s="349"/>
      <c r="K457" s="349"/>
      <c r="L457" s="155">
        <f>$L$456</f>
        <v>534.89</v>
      </c>
      <c r="M457" s="349">
        <f t="shared" ref="M457:O465" si="266">M297</f>
        <v>1</v>
      </c>
      <c r="N457" s="349">
        <f t="shared" si="266"/>
        <v>1</v>
      </c>
      <c r="O457" s="741" t="e">
        <f t="shared" si="266"/>
        <v>#REF!</v>
      </c>
      <c r="P457" s="155"/>
      <c r="Q457" s="155" t="e">
        <f>ROUND(ROUND((C457+D457+E457+F457+G457+H457+I457+J457+K457+L457)*M457*N457,2)*O457-P457,-2)</f>
        <v>#REF!</v>
      </c>
      <c r="R457" s="189">
        <f>(B457+C457+D457+E457+F457+G457+H457+I457+J457+K457+L457)*M457*N457</f>
        <v>36131.089999999997</v>
      </c>
    </row>
    <row r="458" spans="1:18" ht="12.95" hidden="1" customHeight="1" outlineLevel="2" x14ac:dyDescent="0.2">
      <c r="A458" s="90" t="str">
        <f t="shared" si="260"/>
        <v>МАДОУ ЦРР-детский сад № 11</v>
      </c>
      <c r="B458" s="349"/>
      <c r="C458" s="349"/>
      <c r="D458" s="155">
        <f t="shared" ref="D458:D465" si="267">$D$456</f>
        <v>35596.199999999997</v>
      </c>
      <c r="E458" s="349"/>
      <c r="F458" s="349"/>
      <c r="G458" s="349"/>
      <c r="H458" s="349"/>
      <c r="I458" s="349"/>
      <c r="J458" s="349"/>
      <c r="K458" s="349"/>
      <c r="L458" s="155">
        <f t="shared" ref="L458:L465" si="268">$L$456</f>
        <v>534.89</v>
      </c>
      <c r="M458" s="349">
        <f t="shared" si="266"/>
        <v>1</v>
      </c>
      <c r="N458" s="349">
        <f t="shared" si="266"/>
        <v>1</v>
      </c>
      <c r="O458" s="741" t="e">
        <f t="shared" si="266"/>
        <v>#REF!</v>
      </c>
      <c r="P458" s="155"/>
      <c r="Q458" s="155" t="e">
        <f t="shared" ref="Q458:Q465" si="269">ROUND(ROUND((C458+D458+E458+F458+G458+H458+I458+J458+K458+L458)*M458*N458,2)*O458-P458,-2)</f>
        <v>#REF!</v>
      </c>
      <c r="R458" s="189">
        <f t="shared" ref="R458:R465" si="270">(B458+C458+D458+E458+F458+G458+H458+I458+J458+K458+L458)*M458*N458</f>
        <v>36131.089999999997</v>
      </c>
    </row>
    <row r="459" spans="1:18" ht="12.95" hidden="1" customHeight="1" outlineLevel="2" x14ac:dyDescent="0.2">
      <c r="A459" s="90" t="str">
        <f t="shared" si="260"/>
        <v>МАДОУ ЦРР-детский сад № 13</v>
      </c>
      <c r="B459" s="349"/>
      <c r="C459" s="349"/>
      <c r="D459" s="155">
        <f t="shared" si="267"/>
        <v>35596.199999999997</v>
      </c>
      <c r="E459" s="349"/>
      <c r="F459" s="349"/>
      <c r="G459" s="349"/>
      <c r="H459" s="349"/>
      <c r="I459" s="349"/>
      <c r="J459" s="349"/>
      <c r="K459" s="349"/>
      <c r="L459" s="155">
        <f t="shared" si="268"/>
        <v>534.89</v>
      </c>
      <c r="M459" s="349">
        <f t="shared" si="266"/>
        <v>1</v>
      </c>
      <c r="N459" s="349">
        <f t="shared" si="266"/>
        <v>1</v>
      </c>
      <c r="O459" s="741" t="e">
        <f t="shared" si="266"/>
        <v>#REF!</v>
      </c>
      <c r="P459" s="155"/>
      <c r="Q459" s="155" t="e">
        <f t="shared" si="269"/>
        <v>#REF!</v>
      </c>
      <c r="R459" s="189">
        <f t="shared" si="270"/>
        <v>36131.089999999997</v>
      </c>
    </row>
    <row r="460" spans="1:18" ht="26.45" hidden="1" customHeight="1" outlineLevel="2" x14ac:dyDescent="0.2">
      <c r="A460" s="90" t="str">
        <f t="shared" si="260"/>
        <v>МАОУ СОШ № 1 структурное подразделение</v>
      </c>
      <c r="B460" s="349"/>
      <c r="C460" s="349"/>
      <c r="D460" s="155">
        <f t="shared" si="267"/>
        <v>35596.199999999997</v>
      </c>
      <c r="E460" s="349"/>
      <c r="F460" s="349"/>
      <c r="G460" s="349"/>
      <c r="H460" s="349"/>
      <c r="I460" s="349"/>
      <c r="J460" s="349"/>
      <c r="K460" s="349"/>
      <c r="L460" s="155">
        <f t="shared" si="268"/>
        <v>534.89</v>
      </c>
      <c r="M460" s="349">
        <f t="shared" si="266"/>
        <v>1</v>
      </c>
      <c r="N460" s="349">
        <f t="shared" si="266"/>
        <v>1</v>
      </c>
      <c r="O460" s="741" t="e">
        <f t="shared" si="266"/>
        <v>#REF!</v>
      </c>
      <c r="P460" s="155"/>
      <c r="Q460" s="155" t="e">
        <f t="shared" si="269"/>
        <v>#REF!</v>
      </c>
      <c r="R460" s="189">
        <f t="shared" si="270"/>
        <v>36131.089999999997</v>
      </c>
    </row>
    <row r="461" spans="1:18" ht="40.9" hidden="1" customHeight="1" outlineLevel="2" x14ac:dyDescent="0.2">
      <c r="A461" s="90" t="str">
        <f t="shared" si="260"/>
        <v>МАОУ СОШ № 2 им.М.И.Грибушина структурное подразделение</v>
      </c>
      <c r="B461" s="349"/>
      <c r="C461" s="349"/>
      <c r="D461" s="155">
        <f t="shared" si="267"/>
        <v>35596.199999999997</v>
      </c>
      <c r="E461" s="349"/>
      <c r="F461" s="349"/>
      <c r="G461" s="349"/>
      <c r="H461" s="349"/>
      <c r="I461" s="349"/>
      <c r="J461" s="349"/>
      <c r="K461" s="349"/>
      <c r="L461" s="155">
        <f t="shared" si="268"/>
        <v>534.89</v>
      </c>
      <c r="M461" s="349">
        <f t="shared" si="266"/>
        <v>1</v>
      </c>
      <c r="N461" s="349">
        <f t="shared" si="266"/>
        <v>1</v>
      </c>
      <c r="O461" s="741" t="e">
        <f t="shared" si="266"/>
        <v>#REF!</v>
      </c>
      <c r="P461" s="155"/>
      <c r="Q461" s="155" t="e">
        <f t="shared" si="269"/>
        <v>#REF!</v>
      </c>
      <c r="R461" s="189">
        <f t="shared" si="270"/>
        <v>36131.089999999997</v>
      </c>
    </row>
    <row r="462" spans="1:18" ht="27" hidden="1" customHeight="1" outlineLevel="2" x14ac:dyDescent="0.2">
      <c r="A462" s="90" t="str">
        <f t="shared" si="260"/>
        <v>МАОУ СОШ № 10 структурное подразделение</v>
      </c>
      <c r="B462" s="349"/>
      <c r="C462" s="349"/>
      <c r="D462" s="155">
        <f t="shared" si="267"/>
        <v>35596.199999999997</v>
      </c>
      <c r="E462" s="349"/>
      <c r="F462" s="349"/>
      <c r="G462" s="349"/>
      <c r="H462" s="349"/>
      <c r="I462" s="349"/>
      <c r="J462" s="349"/>
      <c r="K462" s="349"/>
      <c r="L462" s="155">
        <f t="shared" si="268"/>
        <v>534.89</v>
      </c>
      <c r="M462" s="349">
        <f t="shared" si="266"/>
        <v>1</v>
      </c>
      <c r="N462" s="349">
        <f t="shared" si="266"/>
        <v>1</v>
      </c>
      <c r="O462" s="741" t="e">
        <f t="shared" si="266"/>
        <v>#REF!</v>
      </c>
      <c r="P462" s="155"/>
      <c r="Q462" s="155" t="e">
        <f t="shared" si="269"/>
        <v>#REF!</v>
      </c>
      <c r="R462" s="189">
        <f t="shared" si="270"/>
        <v>36131.089999999997</v>
      </c>
    </row>
    <row r="463" spans="1:18" ht="25.9" hidden="1" customHeight="1" outlineLevel="2" x14ac:dyDescent="0.2">
      <c r="A463" s="90" t="str">
        <f t="shared" si="260"/>
        <v>МАОУ СОШ № 13 структурное подразделение</v>
      </c>
      <c r="B463" s="349"/>
      <c r="C463" s="349"/>
      <c r="D463" s="155">
        <f t="shared" si="267"/>
        <v>35596.199999999997</v>
      </c>
      <c r="E463" s="349"/>
      <c r="F463" s="349"/>
      <c r="G463" s="349"/>
      <c r="H463" s="349"/>
      <c r="I463" s="349"/>
      <c r="J463" s="349"/>
      <c r="K463" s="349"/>
      <c r="L463" s="155">
        <f t="shared" si="268"/>
        <v>534.89</v>
      </c>
      <c r="M463" s="349">
        <f t="shared" si="266"/>
        <v>1</v>
      </c>
      <c r="N463" s="349">
        <f t="shared" si="266"/>
        <v>1</v>
      </c>
      <c r="O463" s="741" t="e">
        <f t="shared" si="266"/>
        <v>#REF!</v>
      </c>
      <c r="P463" s="155"/>
      <c r="Q463" s="155" t="e">
        <f t="shared" si="269"/>
        <v>#REF!</v>
      </c>
      <c r="R463" s="189">
        <f t="shared" si="270"/>
        <v>36131.089999999997</v>
      </c>
    </row>
    <row r="464" spans="1:18" ht="30" hidden="1" customHeight="1" outlineLevel="2" x14ac:dyDescent="0.2">
      <c r="A464" s="90" t="str">
        <f t="shared" si="260"/>
        <v>Гимназия № 16 структурное подразделение</v>
      </c>
      <c r="B464" s="349"/>
      <c r="C464" s="349"/>
      <c r="D464" s="155">
        <f t="shared" si="267"/>
        <v>35596.199999999997</v>
      </c>
      <c r="E464" s="349"/>
      <c r="F464" s="349"/>
      <c r="G464" s="349"/>
      <c r="H464" s="349"/>
      <c r="I464" s="349"/>
      <c r="J464" s="349"/>
      <c r="K464" s="349"/>
      <c r="L464" s="155">
        <f t="shared" si="268"/>
        <v>534.89</v>
      </c>
      <c r="M464" s="349">
        <f t="shared" si="266"/>
        <v>1</v>
      </c>
      <c r="N464" s="349">
        <f t="shared" si="266"/>
        <v>1</v>
      </c>
      <c r="O464" s="741" t="e">
        <f t="shared" si="266"/>
        <v>#REF!</v>
      </c>
      <c r="P464" s="155"/>
      <c r="Q464" s="155" t="e">
        <f t="shared" si="269"/>
        <v>#REF!</v>
      </c>
      <c r="R464" s="189">
        <f t="shared" si="270"/>
        <v>36131.089999999997</v>
      </c>
    </row>
    <row r="465" spans="1:19" ht="42.6" hidden="1" customHeight="1" outlineLevel="2" x14ac:dyDescent="0.2">
      <c r="A465" s="90" t="str">
        <f t="shared" si="260"/>
        <v>МАОУ ООШ № 17 с кадетскими классами структурное подразделение</v>
      </c>
      <c r="B465" s="349"/>
      <c r="C465" s="349"/>
      <c r="D465" s="155">
        <f t="shared" si="267"/>
        <v>35596.199999999997</v>
      </c>
      <c r="E465" s="349"/>
      <c r="F465" s="349"/>
      <c r="G465" s="349"/>
      <c r="H465" s="349"/>
      <c r="I465" s="349"/>
      <c r="J465" s="349"/>
      <c r="K465" s="349"/>
      <c r="L465" s="155">
        <f t="shared" si="268"/>
        <v>534.89</v>
      </c>
      <c r="M465" s="349">
        <f t="shared" si="266"/>
        <v>1</v>
      </c>
      <c r="N465" s="349">
        <f t="shared" si="266"/>
        <v>1</v>
      </c>
      <c r="O465" s="741" t="e">
        <f t="shared" si="266"/>
        <v>#REF!</v>
      </c>
      <c r="P465" s="155"/>
      <c r="Q465" s="155" t="e">
        <f t="shared" si="269"/>
        <v>#REF!</v>
      </c>
      <c r="R465" s="189">
        <f t="shared" si="270"/>
        <v>36131.089999999997</v>
      </c>
    </row>
    <row r="466" spans="1:19" hidden="1" outlineLevel="1" collapsed="1" x14ac:dyDescent="0.2">
      <c r="A466" s="177" t="s">
        <v>181</v>
      </c>
      <c r="B466" s="175"/>
      <c r="C466" s="175"/>
      <c r="D466" s="175"/>
      <c r="E466" s="175"/>
      <c r="F466" s="175"/>
      <c r="G466" s="175"/>
      <c r="H466" s="175"/>
      <c r="I466" s="175"/>
      <c r="J466" s="175"/>
      <c r="K466" s="175"/>
      <c r="L466" s="175"/>
      <c r="M466" s="175"/>
      <c r="N466" s="175"/>
      <c r="O466" s="768"/>
      <c r="P466" s="175"/>
      <c r="Q466" s="176">
        <f>SUM(Q467:Q475)</f>
        <v>4921800</v>
      </c>
    </row>
    <row r="467" spans="1:19" ht="12.95" hidden="1" customHeight="1" outlineLevel="1" x14ac:dyDescent="0.2">
      <c r="A467" s="90" t="str">
        <f t="shared" ref="A467:A475" si="271">A307</f>
        <v>МАДОУ ЦРР-детский сад № 2</v>
      </c>
      <c r="B467" s="166"/>
      <c r="C467" s="166"/>
      <c r="D467" s="155"/>
      <c r="E467" s="166"/>
      <c r="F467" s="166"/>
      <c r="G467" s="166"/>
      <c r="H467" s="166"/>
      <c r="I467" s="166"/>
      <c r="J467" s="166"/>
      <c r="K467" s="166"/>
      <c r="L467" s="155"/>
      <c r="M467" s="166"/>
      <c r="N467" s="166"/>
      <c r="O467" s="741"/>
      <c r="P467" s="155"/>
      <c r="Q467" s="155">
        <f>ROUND('Налоги 2023'!F6,0)</f>
        <v>461800</v>
      </c>
    </row>
    <row r="468" spans="1:19" ht="12.95" hidden="1" customHeight="1" outlineLevel="1" x14ac:dyDescent="0.2">
      <c r="A468" s="90" t="str">
        <f t="shared" si="271"/>
        <v>МАДОУ ЦРР-детский сад № 11</v>
      </c>
      <c r="B468" s="166"/>
      <c r="C468" s="166"/>
      <c r="D468" s="155"/>
      <c r="E468" s="166"/>
      <c r="F468" s="166"/>
      <c r="G468" s="166"/>
      <c r="H468" s="166"/>
      <c r="I468" s="166"/>
      <c r="J468" s="166"/>
      <c r="K468" s="166"/>
      <c r="L468" s="155"/>
      <c r="M468" s="166"/>
      <c r="N468" s="166"/>
      <c r="O468" s="741"/>
      <c r="P468" s="155"/>
      <c r="Q468" s="155">
        <f>ROUND('Налоги 2023'!F7,0)</f>
        <v>2734100</v>
      </c>
    </row>
    <row r="469" spans="1:19" ht="12.95" hidden="1" customHeight="1" outlineLevel="1" x14ac:dyDescent="0.2">
      <c r="A469" s="90" t="str">
        <f t="shared" si="271"/>
        <v>МАДОУ ЦРР-детский сад № 13</v>
      </c>
      <c r="B469" s="166"/>
      <c r="C469" s="166"/>
      <c r="D469" s="155"/>
      <c r="E469" s="166"/>
      <c r="F469" s="166"/>
      <c r="G469" s="166"/>
      <c r="H469" s="166"/>
      <c r="I469" s="166"/>
      <c r="J469" s="166"/>
      <c r="K469" s="166"/>
      <c r="L469" s="155"/>
      <c r="M469" s="166"/>
      <c r="N469" s="166"/>
      <c r="O469" s="741"/>
      <c r="P469" s="155"/>
      <c r="Q469" s="155">
        <f>ROUND('Налоги 2023'!F8,0)</f>
        <v>349000</v>
      </c>
    </row>
    <row r="470" spans="1:19" ht="27" hidden="1" customHeight="1" outlineLevel="1" x14ac:dyDescent="0.2">
      <c r="A470" s="90" t="str">
        <f t="shared" si="271"/>
        <v>МАОУ СОШ № 1 структурное подразделение</v>
      </c>
      <c r="B470" s="166"/>
      <c r="C470" s="166"/>
      <c r="D470" s="155"/>
      <c r="E470" s="166"/>
      <c r="F470" s="166"/>
      <c r="G470" s="166"/>
      <c r="H470" s="166"/>
      <c r="I470" s="166"/>
      <c r="J470" s="166"/>
      <c r="K470" s="166"/>
      <c r="L470" s="155"/>
      <c r="M470" s="166"/>
      <c r="N470" s="166"/>
      <c r="O470" s="741"/>
      <c r="P470" s="155"/>
      <c r="Q470" s="155">
        <f>ROUND('Налоги 2023'!F9,0)</f>
        <v>324300</v>
      </c>
    </row>
    <row r="471" spans="1:19" ht="40.9" hidden="1" customHeight="1" outlineLevel="1" x14ac:dyDescent="0.2">
      <c r="A471" s="90" t="str">
        <f t="shared" si="271"/>
        <v>МАОУ СОШ № 2 им.М.И.Грибушина структурное подразделение</v>
      </c>
      <c r="B471" s="166"/>
      <c r="C471" s="166"/>
      <c r="D471" s="155"/>
      <c r="E471" s="166"/>
      <c r="F471" s="166"/>
      <c r="G471" s="166"/>
      <c r="H471" s="166"/>
      <c r="I471" s="166"/>
      <c r="J471" s="166"/>
      <c r="K471" s="166"/>
      <c r="L471" s="155"/>
      <c r="M471" s="166"/>
      <c r="N471" s="166"/>
      <c r="O471" s="741"/>
      <c r="P471" s="155"/>
      <c r="Q471" s="155">
        <f>ROUND('Налоги 2023'!F10,0)</f>
        <v>210900</v>
      </c>
    </row>
    <row r="472" spans="1:19" ht="26.45" hidden="1" customHeight="1" outlineLevel="1" x14ac:dyDescent="0.2">
      <c r="A472" s="90" t="str">
        <f t="shared" si="271"/>
        <v>МАОУ СОШ № 10 структурное подразделение</v>
      </c>
      <c r="B472" s="166"/>
      <c r="C472" s="166"/>
      <c r="D472" s="155"/>
      <c r="E472" s="166"/>
      <c r="F472" s="166"/>
      <c r="G472" s="166"/>
      <c r="H472" s="166"/>
      <c r="I472" s="166"/>
      <c r="J472" s="166"/>
      <c r="K472" s="166"/>
      <c r="L472" s="155"/>
      <c r="M472" s="166"/>
      <c r="N472" s="166"/>
      <c r="O472" s="741"/>
      <c r="P472" s="155"/>
      <c r="Q472" s="155">
        <f>ROUND('Налоги 2023'!F11,0)</f>
        <v>140700</v>
      </c>
    </row>
    <row r="473" spans="1:19" ht="29.45" hidden="1" customHeight="1" outlineLevel="1" x14ac:dyDescent="0.2">
      <c r="A473" s="90" t="str">
        <f t="shared" si="271"/>
        <v>МАОУ СОШ № 13 структурное подразделение</v>
      </c>
      <c r="B473" s="349"/>
      <c r="C473" s="349"/>
      <c r="D473" s="155"/>
      <c r="E473" s="349"/>
      <c r="F473" s="349"/>
      <c r="G473" s="349"/>
      <c r="H473" s="349"/>
      <c r="I473" s="349"/>
      <c r="J473" s="349"/>
      <c r="K473" s="349"/>
      <c r="L473" s="155"/>
      <c r="M473" s="349"/>
      <c r="N473" s="349"/>
      <c r="O473" s="741"/>
      <c r="P473" s="155"/>
      <c r="Q473" s="155">
        <f>ROUND('Налоги 2023'!F12,0)</f>
        <v>376900</v>
      </c>
    </row>
    <row r="474" spans="1:19" ht="29.45" hidden="1" customHeight="1" outlineLevel="1" x14ac:dyDescent="0.2">
      <c r="A474" s="90" t="str">
        <f t="shared" si="271"/>
        <v>Гимназия № 16 структурное подразделение</v>
      </c>
      <c r="B474" s="166"/>
      <c r="C474" s="166"/>
      <c r="D474" s="155"/>
      <c r="E474" s="166"/>
      <c r="F474" s="166"/>
      <c r="G474" s="166"/>
      <c r="H474" s="166"/>
      <c r="I474" s="166"/>
      <c r="J474" s="166"/>
      <c r="K474" s="166"/>
      <c r="L474" s="155"/>
      <c r="M474" s="166"/>
      <c r="N474" s="166"/>
      <c r="O474" s="771"/>
      <c r="P474" s="155"/>
      <c r="Q474" s="155">
        <f>ROUND('Налоги 2023'!F13,0)</f>
        <v>286100</v>
      </c>
    </row>
    <row r="475" spans="1:19" ht="42.6" hidden="1" customHeight="1" outlineLevel="1" x14ac:dyDescent="0.2">
      <c r="A475" s="90" t="str">
        <f t="shared" si="271"/>
        <v>МАОУ ООШ № 17 с кадетскими классами структурное подразделение</v>
      </c>
      <c r="B475" s="166"/>
      <c r="C475" s="166"/>
      <c r="D475" s="155"/>
      <c r="E475" s="166"/>
      <c r="F475" s="166"/>
      <c r="G475" s="166"/>
      <c r="H475" s="166"/>
      <c r="I475" s="166"/>
      <c r="J475" s="166"/>
      <c r="K475" s="166"/>
      <c r="L475" s="155"/>
      <c r="M475" s="166"/>
      <c r="N475" s="166"/>
      <c r="O475" s="741"/>
      <c r="P475" s="155"/>
      <c r="Q475" s="155">
        <f>ROUND('Налоги 2023'!F14,0)</f>
        <v>38000</v>
      </c>
    </row>
    <row r="476" spans="1:19" ht="25.5" collapsed="1" x14ac:dyDescent="0.2">
      <c r="A476" s="183" t="s">
        <v>249</v>
      </c>
      <c r="B476" s="169"/>
      <c r="C476" s="169"/>
      <c r="D476" s="169"/>
      <c r="E476" s="169"/>
      <c r="F476" s="169"/>
      <c r="G476" s="169"/>
      <c r="H476" s="169"/>
      <c r="I476" s="169"/>
      <c r="J476" s="169"/>
      <c r="K476" s="169"/>
      <c r="L476" s="169"/>
      <c r="M476" s="169"/>
      <c r="N476" s="169"/>
      <c r="O476" s="770"/>
      <c r="P476" s="184">
        <f>SUM(P477:P485)</f>
        <v>72218300</v>
      </c>
      <c r="Q476" s="184" t="e">
        <f>SUM(Q477:Q485)</f>
        <v>#REF!</v>
      </c>
      <c r="R476" s="807" t="e">
        <f>Q326+Q336+Q346+Q356+Q366+Q376+Q386+Q396+Q416+Q426+Q436+Q406+Q446+Q456+Q466</f>
        <v>#REF!</v>
      </c>
      <c r="S476" s="807" t="e">
        <f>Q476-R476</f>
        <v>#REF!</v>
      </c>
    </row>
    <row r="477" spans="1:19" ht="12.95" customHeight="1" x14ac:dyDescent="0.2">
      <c r="A477" s="90" t="str">
        <f t="shared" ref="A477:A485" si="272">A317</f>
        <v>МАДОУ ЦРР-детский сад № 2</v>
      </c>
      <c r="B477" s="166"/>
      <c r="C477" s="166"/>
      <c r="D477" s="155"/>
      <c r="E477" s="166"/>
      <c r="F477" s="166"/>
      <c r="G477" s="166"/>
      <c r="H477" s="166"/>
      <c r="I477" s="166"/>
      <c r="J477" s="166"/>
      <c r="K477" s="166"/>
      <c r="L477" s="155"/>
      <c r="M477" s="166"/>
      <c r="N477" s="166"/>
      <c r="O477" s="741"/>
      <c r="P477" s="155">
        <f t="shared" ref="P477:P485" si="273">ROUND(P327+P337+P347+P357+P367+P377+P387+P397+P417+P427+P437+P447+P457+P467,-2)</f>
        <v>10613400</v>
      </c>
      <c r="Q477" s="155" t="e">
        <f>ROUND(Q327+Q337+Q347+Q357+Q367+Q377+Q387+Q397+Q417+Q427+Q437+Q447+Q457+Q467+Q407,0)</f>
        <v>#REF!</v>
      </c>
      <c r="R477" s="170">
        <v>51273600</v>
      </c>
      <c r="S477" s="186" t="e">
        <f>Q476-R477</f>
        <v>#REF!</v>
      </c>
    </row>
    <row r="478" spans="1:19" ht="12.95" customHeight="1" x14ac:dyDescent="0.2">
      <c r="A478" s="90" t="str">
        <f t="shared" si="272"/>
        <v>МАДОУ ЦРР-детский сад № 11</v>
      </c>
      <c r="B478" s="166"/>
      <c r="C478" s="166"/>
      <c r="D478" s="155"/>
      <c r="E478" s="166"/>
      <c r="F478" s="166"/>
      <c r="G478" s="166"/>
      <c r="H478" s="166"/>
      <c r="I478" s="166"/>
      <c r="J478" s="166"/>
      <c r="K478" s="166"/>
      <c r="L478" s="155"/>
      <c r="M478" s="166"/>
      <c r="N478" s="166"/>
      <c r="O478" s="741"/>
      <c r="P478" s="155">
        <f t="shared" si="273"/>
        <v>11319600</v>
      </c>
      <c r="Q478" s="806" t="e">
        <f t="shared" ref="Q478:Q485" si="274">ROUND(Q328+Q338+Q348+Q358+Q368+Q378+Q388+Q398+Q418+Q428+Q438+Q448+Q458+Q468+Q408,0)</f>
        <v>#REF!</v>
      </c>
    </row>
    <row r="479" spans="1:19" ht="12.95" customHeight="1" x14ac:dyDescent="0.2">
      <c r="A479" s="90" t="str">
        <f t="shared" si="272"/>
        <v>МАДОУ ЦРР-детский сад № 13</v>
      </c>
      <c r="B479" s="166"/>
      <c r="C479" s="166"/>
      <c r="D479" s="155"/>
      <c r="E479" s="166"/>
      <c r="F479" s="166"/>
      <c r="G479" s="166"/>
      <c r="H479" s="166"/>
      <c r="I479" s="166"/>
      <c r="J479" s="166"/>
      <c r="K479" s="166"/>
      <c r="L479" s="155"/>
      <c r="M479" s="166"/>
      <c r="N479" s="166"/>
      <c r="O479" s="741"/>
      <c r="P479" s="155">
        <f t="shared" si="273"/>
        <v>14889000</v>
      </c>
      <c r="Q479" s="806" t="e">
        <f t="shared" si="274"/>
        <v>#REF!</v>
      </c>
    </row>
    <row r="480" spans="1:19" ht="27" customHeight="1" x14ac:dyDescent="0.2">
      <c r="A480" s="90" t="str">
        <f t="shared" si="272"/>
        <v>МАОУ СОШ № 1 структурное подразделение</v>
      </c>
      <c r="B480" s="166"/>
      <c r="C480" s="166"/>
      <c r="D480" s="155"/>
      <c r="E480" s="166"/>
      <c r="F480" s="166"/>
      <c r="G480" s="166"/>
      <c r="H480" s="166"/>
      <c r="I480" s="166"/>
      <c r="J480" s="166"/>
      <c r="K480" s="166"/>
      <c r="L480" s="155"/>
      <c r="M480" s="166"/>
      <c r="N480" s="166"/>
      <c r="O480" s="741"/>
      <c r="P480" s="155">
        <f t="shared" si="273"/>
        <v>8621400</v>
      </c>
      <c r="Q480" s="806" t="e">
        <f t="shared" si="274"/>
        <v>#REF!</v>
      </c>
    </row>
    <row r="481" spans="1:17" ht="39" customHeight="1" x14ac:dyDescent="0.2">
      <c r="A481" s="90" t="str">
        <f t="shared" si="272"/>
        <v>МАОУ СОШ № 2 им.М.И.Грибушина структурное подразделение</v>
      </c>
      <c r="B481" s="166"/>
      <c r="C481" s="166"/>
      <c r="D481" s="155"/>
      <c r="E481" s="166"/>
      <c r="F481" s="166"/>
      <c r="G481" s="166"/>
      <c r="H481" s="166"/>
      <c r="I481" s="166"/>
      <c r="J481" s="166"/>
      <c r="K481" s="166"/>
      <c r="L481" s="155"/>
      <c r="M481" s="166"/>
      <c r="N481" s="166"/>
      <c r="O481" s="741"/>
      <c r="P481" s="155">
        <f t="shared" si="273"/>
        <v>6218300</v>
      </c>
      <c r="Q481" s="806" t="e">
        <f t="shared" si="274"/>
        <v>#REF!</v>
      </c>
    </row>
    <row r="482" spans="1:17" ht="27.6" customHeight="1" x14ac:dyDescent="0.2">
      <c r="A482" s="90" t="str">
        <f t="shared" si="272"/>
        <v>МАОУ СОШ № 10 структурное подразделение</v>
      </c>
      <c r="B482" s="166"/>
      <c r="C482" s="166"/>
      <c r="D482" s="155"/>
      <c r="E482" s="166"/>
      <c r="F482" s="166"/>
      <c r="G482" s="166"/>
      <c r="H482" s="166"/>
      <c r="I482" s="166"/>
      <c r="J482" s="166"/>
      <c r="K482" s="166"/>
      <c r="L482" s="155"/>
      <c r="M482" s="166"/>
      <c r="N482" s="166"/>
      <c r="O482" s="741"/>
      <c r="P482" s="155">
        <f t="shared" si="273"/>
        <v>5128500</v>
      </c>
      <c r="Q482" s="806" t="e">
        <f t="shared" si="274"/>
        <v>#REF!</v>
      </c>
    </row>
    <row r="483" spans="1:17" ht="28.9" customHeight="1" x14ac:dyDescent="0.2">
      <c r="A483" s="90" t="str">
        <f t="shared" si="272"/>
        <v>МАОУ СОШ № 13 структурное подразделение</v>
      </c>
      <c r="B483" s="166"/>
      <c r="C483" s="166"/>
      <c r="D483" s="155"/>
      <c r="E483" s="166"/>
      <c r="F483" s="166"/>
      <c r="G483" s="166"/>
      <c r="H483" s="166"/>
      <c r="I483" s="166"/>
      <c r="J483" s="166"/>
      <c r="K483" s="166"/>
      <c r="L483" s="155"/>
      <c r="M483" s="166"/>
      <c r="N483" s="166"/>
      <c r="O483" s="769"/>
      <c r="P483" s="155">
        <f t="shared" si="273"/>
        <v>3922900</v>
      </c>
      <c r="Q483" s="806" t="e">
        <f t="shared" si="274"/>
        <v>#REF!</v>
      </c>
    </row>
    <row r="484" spans="1:17" ht="31.15" customHeight="1" x14ac:dyDescent="0.2">
      <c r="A484" s="90" t="str">
        <f t="shared" si="272"/>
        <v>Гимназия № 16 структурное подразделение</v>
      </c>
      <c r="B484" s="166"/>
      <c r="C484" s="166"/>
      <c r="D484" s="155"/>
      <c r="E484" s="166"/>
      <c r="F484" s="166"/>
      <c r="G484" s="166"/>
      <c r="H484" s="166"/>
      <c r="I484" s="166"/>
      <c r="J484" s="166"/>
      <c r="K484" s="166"/>
      <c r="L484" s="155"/>
      <c r="M484" s="166"/>
      <c r="N484" s="166"/>
      <c r="O484" s="741"/>
      <c r="P484" s="155">
        <f t="shared" si="273"/>
        <v>9158500</v>
      </c>
      <c r="Q484" s="806" t="e">
        <f t="shared" si="274"/>
        <v>#REF!</v>
      </c>
    </row>
    <row r="485" spans="1:17" ht="42" customHeight="1" x14ac:dyDescent="0.2">
      <c r="A485" s="90" t="str">
        <f t="shared" si="272"/>
        <v>МАОУ ООШ № 17 с кадетскими классами структурное подразделение</v>
      </c>
      <c r="B485" s="166"/>
      <c r="C485" s="166"/>
      <c r="D485" s="155"/>
      <c r="E485" s="166"/>
      <c r="F485" s="166"/>
      <c r="G485" s="166"/>
      <c r="H485" s="166"/>
      <c r="I485" s="166"/>
      <c r="J485" s="166"/>
      <c r="K485" s="166"/>
      <c r="L485" s="155"/>
      <c r="M485" s="166"/>
      <c r="N485" s="166"/>
      <c r="O485" s="741"/>
      <c r="P485" s="155">
        <f t="shared" si="273"/>
        <v>2346700</v>
      </c>
      <c r="Q485" s="806" t="e">
        <f t="shared" si="274"/>
        <v>#REF!</v>
      </c>
    </row>
    <row r="486" spans="1:17" x14ac:dyDescent="0.2">
      <c r="A486" s="167"/>
    </row>
    <row r="487" spans="1:17" x14ac:dyDescent="0.2">
      <c r="A487" s="168" t="s">
        <v>250</v>
      </c>
      <c r="B487" s="171"/>
      <c r="C487" s="1265" t="s">
        <v>659</v>
      </c>
      <c r="D487" s="1265"/>
    </row>
    <row r="488" spans="1:17" x14ac:dyDescent="0.2">
      <c r="A488" s="170" t="s">
        <v>660</v>
      </c>
    </row>
    <row r="489" spans="1:17" x14ac:dyDescent="0.2">
      <c r="O489" s="800" t="e">
        <f>O6+O16+O26+O36+O46+O56+O66+O76+O96+O106+O116+O126+O136</f>
        <v>#REF!</v>
      </c>
    </row>
    <row r="490" spans="1:17" x14ac:dyDescent="0.2">
      <c r="O490" s="800" t="e">
        <f>Численность!#REF!</f>
        <v>#REF!</v>
      </c>
    </row>
  </sheetData>
  <autoFilter ref="A5:W5"/>
  <mergeCells count="12">
    <mergeCell ref="Q3:Q4"/>
    <mergeCell ref="A1:Q1"/>
    <mergeCell ref="A2:Q2"/>
    <mergeCell ref="A3:A4"/>
    <mergeCell ref="C487:D487"/>
    <mergeCell ref="M3:M4"/>
    <mergeCell ref="B3:B4"/>
    <mergeCell ref="C3:E3"/>
    <mergeCell ref="F3:L3"/>
    <mergeCell ref="N3:N4"/>
    <mergeCell ref="O3:O4"/>
    <mergeCell ref="P3:P4"/>
  </mergeCells>
  <pageMargins left="0" right="0" top="0" bottom="0" header="0" footer="0"/>
  <pageSetup paperSize="9" scale="60" fitToHeight="0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zoomScale="110" zoomScaleNormal="110" workbookViewId="0">
      <selection activeCell="C8" sqref="C8"/>
    </sheetView>
  </sheetViews>
  <sheetFormatPr defaultColWidth="8.85546875" defaultRowHeight="12.75" x14ac:dyDescent="0.2"/>
  <cols>
    <col min="1" max="1" width="31.28515625" style="170" customWidth="1"/>
    <col min="2" max="6" width="16.28515625" style="170" customWidth="1"/>
    <col min="7" max="8" width="14" style="170" customWidth="1"/>
    <col min="9" max="12" width="14.28515625" style="170" customWidth="1"/>
    <col min="13" max="14" width="13.85546875" style="170" customWidth="1"/>
    <col min="15" max="15" width="13.28515625" style="170" customWidth="1"/>
    <col min="16" max="16" width="8.85546875" style="170" customWidth="1"/>
    <col min="17" max="17" width="11.140625" style="170" bestFit="1" customWidth="1"/>
    <col min="18" max="18" width="8.85546875" style="170"/>
    <col min="19" max="20" width="9" style="170" customWidth="1"/>
    <col min="21" max="21" width="8.85546875" style="170" customWidth="1"/>
    <col min="22" max="16384" width="8.85546875" style="170"/>
  </cols>
  <sheetData>
    <row r="1" spans="1:21" s="238" customFormat="1" x14ac:dyDescent="0.2">
      <c r="A1" s="238" t="s">
        <v>362</v>
      </c>
    </row>
    <row r="2" spans="1:21" ht="192" customHeight="1" x14ac:dyDescent="0.2">
      <c r="A2" s="496" t="s">
        <v>132</v>
      </c>
      <c r="B2" s="496" t="str">
        <f>'Результаты расчетов'!A6</f>
        <v>Реализация основных общеобразовательных программ дошкольного образования От 1 года до 3 лет Очная группа полного дня</v>
      </c>
      <c r="C2" s="496" t="str">
        <f>'Результаты расчетов'!A16</f>
        <v>Реализация основных общеобразовательных программ дошкольного образования От 3 лет до 8 лет Очная группа полного дня</v>
      </c>
      <c r="D2" s="496" t="str">
        <f>'Результаты расчетов'!A36</f>
        <v>Реализация основных общеобразовательных программ дошкольного образования Обучающиеся с ограниченными возможностями здоровья (ОВЗ) От 3 лет до 8 лет Очная группа полного дня</v>
      </c>
      <c r="E2" s="496" t="str">
        <f>'Результаты расчетов'!A26</f>
        <v>Реализация основных общеобразовательных программ дошкольного образования Обучающиеся с ограниченными возможностями здоровья (ОВЗ) От 1 года до 3 лет Очная группа полного дня</v>
      </c>
      <c r="F2" s="496" t="str">
        <f>'Результаты расчетов'!A46</f>
        <v>Реализация основных общеобразовательных программ дошкольного образования Адаптированная образовательная программа От 3 лет до 8 лет Очная группа полного дня</v>
      </c>
      <c r="G2" s="496" t="str">
        <f>'Результаты расчетов'!A56</f>
        <v>Присмотр и уход Физические лица за исключением льготных категорий От 1 года до 3 лет Группа полного дня</v>
      </c>
      <c r="H2" s="496" t="str">
        <f>'Результаты расчетов'!A66</f>
        <v>Присмотр и уход Физические лица льготных категорий, определяемых учредителем От 3 лет до 8 лет группа полного дня</v>
      </c>
      <c r="I2" s="496" t="str">
        <f>'Результаты расчетов'!A76</f>
        <v>Присмотр и уход Дети-сироты и дети, оставшиеся без попечения родителей От 1 года до 3 лет Группа полного дня</v>
      </c>
      <c r="J2" s="496" t="str">
        <f>'Результаты расчетов'!A86</f>
        <v>Присмотр и уход Дети-инвалиды От 1 лет до 3 лет группа полного дня</v>
      </c>
      <c r="K2" s="496" t="str">
        <f>'Результаты расчетов'!A96</f>
        <v>Присмотр и уход Физические лица за исключением льготных категорий От 3 лет до 8 лет Группа полного дня</v>
      </c>
      <c r="L2" s="496" t="str">
        <f>'Результаты расчетов'!A106</f>
        <v>Присмотр и уход Физические лица льготных категорий, определяемых учредителем От 3 года до 8 лет Группа полного дня</v>
      </c>
      <c r="M2" s="496" t="str">
        <f>'Результаты расчетов'!A116</f>
        <v>Присмотр и уход Дети-сироты и дети, оставшиеся без попечения родителей От 3 лет до 8 лет Группа полного дня</v>
      </c>
      <c r="N2" s="496" t="str">
        <f>'Результаты расчетов'!A126</f>
        <v>Присмотр и уход Дети-инвалиды От 3 лет до 8 лет группа полного дня</v>
      </c>
      <c r="O2" s="496" t="str">
        <f>'Результаты расчетов'!A136</f>
        <v>Присмотр и уход Дети с туберкулезной интоксикацией От 3 лет до 8 лет группа полного дня</v>
      </c>
    </row>
    <row r="3" spans="1:21" ht="13.15" customHeight="1" x14ac:dyDescent="0.2">
      <c r="A3" s="497" t="str">
        <f>'Результаты расчетов'!A7</f>
        <v>МАДОУ ЦРР-детский сад № 2</v>
      </c>
      <c r="B3" s="498">
        <f>'Результаты расчетов'!R7</f>
        <v>10500.766250000001</v>
      </c>
      <c r="C3" s="498">
        <f>'Результаты расчетов'!R17</f>
        <v>10406.784</v>
      </c>
      <c r="D3" s="498">
        <f>'Результаты расчетов'!R37</f>
        <v>10406.784</v>
      </c>
      <c r="E3" s="498">
        <f>'Результаты расчетов'!R27</f>
        <v>10500.766250000001</v>
      </c>
      <c r="F3" s="498">
        <f>'Результаты расчетов'!R47</f>
        <v>18034.956672</v>
      </c>
      <c r="G3" s="498">
        <f>'Результаты расчетов'!R57</f>
        <v>1711.5600000000013</v>
      </c>
      <c r="H3" s="498">
        <f>'Результаты расчетов'!R67</f>
        <v>1711.5600000000013</v>
      </c>
      <c r="I3" s="498">
        <f>'Результаты расчетов'!R77</f>
        <v>30857.56</v>
      </c>
      <c r="J3" s="498">
        <f>'Результаты расчетов'!R87</f>
        <v>30857.56</v>
      </c>
      <c r="K3" s="498">
        <f>'Результаты расчетов'!R97</f>
        <v>1551.0899999999965</v>
      </c>
      <c r="L3" s="498">
        <f>'Результаты расчетов'!R107</f>
        <v>18841.089999999997</v>
      </c>
      <c r="M3" s="498">
        <f>'Результаты расчетов'!R117</f>
        <v>36131.089999999997</v>
      </c>
      <c r="N3" s="498">
        <f>'Результаты расчетов'!R127</f>
        <v>36131.089999999997</v>
      </c>
      <c r="O3" s="498">
        <f>'Результаты расчетов'!R137</f>
        <v>36131.089999999997</v>
      </c>
      <c r="P3" s="500">
        <f>'Результаты расчетов'!S37</f>
        <v>0</v>
      </c>
      <c r="Q3" s="500">
        <f>'Результаты расчетов'!S167</f>
        <v>28600</v>
      </c>
      <c r="R3" s="500">
        <f>'Результаты расчетов'!S327</f>
        <v>0</v>
      </c>
      <c r="S3" s="500">
        <f>'Результаты расчетов'!Q147</f>
        <v>462000</v>
      </c>
      <c r="T3" s="500">
        <f>'Результаты расчетов'!Q307</f>
        <v>461800</v>
      </c>
      <c r="U3" s="500">
        <f>'Результаты расчетов'!Q467</f>
        <v>461800</v>
      </c>
    </row>
    <row r="4" spans="1:21" ht="13.15" customHeight="1" x14ac:dyDescent="0.2">
      <c r="A4" s="497" t="str">
        <f>'Результаты расчетов'!A8</f>
        <v>МАДОУ ЦРР-детский сад № 11</v>
      </c>
      <c r="B4" s="498">
        <f>'Результаты расчетов'!R8</f>
        <v>9609.4817000000003</v>
      </c>
      <c r="C4" s="498">
        <f>'Результаты расчетов'!R18</f>
        <v>9523.4764800000012</v>
      </c>
      <c r="D4" s="498">
        <f>'Результаты расчетов'!R38</f>
        <v>9523.4764800000012</v>
      </c>
      <c r="E4" s="498">
        <f>'Результаты расчетов'!R28</f>
        <v>9609.4817000000003</v>
      </c>
      <c r="F4" s="498">
        <f>'Результаты расчетов'!R48</f>
        <v>16504.184739840002</v>
      </c>
      <c r="G4" s="498">
        <f>'Результаты расчетов'!R58</f>
        <v>1711.5600000000013</v>
      </c>
      <c r="H4" s="498">
        <f>'Результаты расчетов'!R68</f>
        <v>1711.5600000000013</v>
      </c>
      <c r="I4" s="498">
        <f>'Результаты расчетов'!R78</f>
        <v>30857.56</v>
      </c>
      <c r="J4" s="498">
        <f>'Результаты расчетов'!R88</f>
        <v>30857.56</v>
      </c>
      <c r="K4" s="498">
        <f>'Результаты расчетов'!R98</f>
        <v>1551.0899999999965</v>
      </c>
      <c r="L4" s="498">
        <f>'Результаты расчетов'!R108</f>
        <v>18841.089999999997</v>
      </c>
      <c r="M4" s="498">
        <f>'Результаты расчетов'!R118</f>
        <v>36131.089999999997</v>
      </c>
      <c r="N4" s="498">
        <f>'Результаты расчетов'!R128</f>
        <v>36131.089999999997</v>
      </c>
      <c r="O4" s="498">
        <f>'Результаты расчетов'!R138</f>
        <v>36131.089999999997</v>
      </c>
      <c r="P4" s="500">
        <f>'Результаты расчетов'!S38</f>
        <v>0</v>
      </c>
      <c r="Q4" s="500">
        <f>'Результаты расчетов'!S168</f>
        <v>47500</v>
      </c>
      <c r="R4" s="500">
        <f>'Результаты расчетов'!S328</f>
        <v>0</v>
      </c>
      <c r="S4" s="500">
        <f>'Результаты расчетов'!Q148</f>
        <v>2734100</v>
      </c>
      <c r="T4" s="500">
        <f>'Результаты расчетов'!Q308</f>
        <v>2734100</v>
      </c>
      <c r="U4" s="500">
        <f>'Результаты расчетов'!Q468</f>
        <v>2734100</v>
      </c>
    </row>
    <row r="5" spans="1:21" ht="13.15" customHeight="1" x14ac:dyDescent="0.2">
      <c r="A5" s="497" t="str">
        <f>'Результаты расчетов'!A9</f>
        <v>МАДОУ ЦРР-детский сад № 13</v>
      </c>
      <c r="B5" s="498">
        <f>'Результаты расчетов'!R9</f>
        <v>9875.8426000000018</v>
      </c>
      <c r="C5" s="498">
        <f>'Результаты расчетов'!R19</f>
        <v>9787.4534400000011</v>
      </c>
      <c r="D5" s="498">
        <f>'Результаты расчетов'!R39</f>
        <v>9787.4534400000011</v>
      </c>
      <c r="E5" s="498">
        <f>'Результаты расчетов'!R29</f>
        <v>9875.8426000000018</v>
      </c>
      <c r="F5" s="498">
        <f>'Результаты расчетов'!R49</f>
        <v>16961.656811520003</v>
      </c>
      <c r="G5" s="498">
        <f>'Результаты расчетов'!R59</f>
        <v>1711.5600000000013</v>
      </c>
      <c r="H5" s="498">
        <f>'Результаты расчетов'!R69</f>
        <v>1711.5600000000013</v>
      </c>
      <c r="I5" s="498">
        <f>'Результаты расчетов'!R79</f>
        <v>30857.56</v>
      </c>
      <c r="J5" s="498">
        <f>'Результаты расчетов'!R89</f>
        <v>30857.56</v>
      </c>
      <c r="K5" s="498">
        <f>'Результаты расчетов'!R99</f>
        <v>1551.0899999999965</v>
      </c>
      <c r="L5" s="498">
        <f>'Результаты расчетов'!R109</f>
        <v>18841.089999999997</v>
      </c>
      <c r="M5" s="498">
        <f>'Результаты расчетов'!R119</f>
        <v>36131.089999999997</v>
      </c>
      <c r="N5" s="498">
        <f>'Результаты расчетов'!R129</f>
        <v>36131.089999999997</v>
      </c>
      <c r="O5" s="498">
        <f>'Результаты расчетов'!R139</f>
        <v>36131.089999999997</v>
      </c>
      <c r="P5" s="500">
        <f>'Результаты расчетов'!S39</f>
        <v>0</v>
      </c>
      <c r="Q5" s="500">
        <f>'Результаты расчетов'!S169</f>
        <v>72100</v>
      </c>
      <c r="R5" s="500">
        <f>'Результаты расчетов'!S329</f>
        <v>0</v>
      </c>
      <c r="S5" s="500">
        <f>'Результаты расчетов'!Q149</f>
        <v>349000</v>
      </c>
      <c r="T5" s="500">
        <f>'Результаты расчетов'!Q309</f>
        <v>349000</v>
      </c>
      <c r="U5" s="500">
        <f>'Результаты расчетов'!Q469</f>
        <v>349000</v>
      </c>
    </row>
    <row r="6" spans="1:21" ht="26.45" customHeight="1" x14ac:dyDescent="0.2">
      <c r="A6" s="497" t="str">
        <f>'Результаты расчетов'!A10</f>
        <v>МАОУ СОШ № 1 структурное подразделение</v>
      </c>
      <c r="B6" s="498">
        <f>'Результаты расчетов'!R10</f>
        <v>9097.249200000002</v>
      </c>
      <c r="C6" s="498">
        <f>'Результаты расчетов'!R20</f>
        <v>9015.8284800000001</v>
      </c>
      <c r="D6" s="498">
        <f>'Результаты расчетов'!R40</f>
        <v>9015.8284800000001</v>
      </c>
      <c r="E6" s="498">
        <f>'Результаты расчетов'!R30</f>
        <v>9097.249200000002</v>
      </c>
      <c r="F6" s="498">
        <f>'Результаты расчетов'!R50</f>
        <v>15624.430755840003</v>
      </c>
      <c r="G6" s="498">
        <f>'Результаты расчетов'!R60</f>
        <v>1711.5600000000013</v>
      </c>
      <c r="H6" s="498">
        <f>'Результаты расчетов'!R70</f>
        <v>1711.5600000000013</v>
      </c>
      <c r="I6" s="498">
        <f>'Результаты расчетов'!R80</f>
        <v>30857.56</v>
      </c>
      <c r="J6" s="498">
        <f>'Результаты расчетов'!R90</f>
        <v>30857.56</v>
      </c>
      <c r="K6" s="498">
        <f>'Результаты расчетов'!R100</f>
        <v>1551.0899999999965</v>
      </c>
      <c r="L6" s="498">
        <f>'Результаты расчетов'!R110</f>
        <v>18841.089999999997</v>
      </c>
      <c r="M6" s="498">
        <f>'Результаты расчетов'!R120</f>
        <v>36131.089999999997</v>
      </c>
      <c r="N6" s="498">
        <f>'Результаты расчетов'!R130</f>
        <v>36131.089999999997</v>
      </c>
      <c r="O6" s="498">
        <f>'Результаты расчетов'!R140</f>
        <v>36131.089999999997</v>
      </c>
      <c r="P6" s="500">
        <f>'Результаты расчетов'!S40</f>
        <v>0</v>
      </c>
      <c r="Q6" s="500">
        <f>'Результаты расчетов'!S170</f>
        <v>16500</v>
      </c>
      <c r="R6" s="500">
        <f>'Результаты расчетов'!S330</f>
        <v>0</v>
      </c>
      <c r="S6" s="500">
        <f>'Результаты расчетов'!Q150</f>
        <v>324300</v>
      </c>
      <c r="T6" s="500">
        <f>'Результаты расчетов'!Q310</f>
        <v>324300</v>
      </c>
      <c r="U6" s="500">
        <f>'Результаты расчетов'!Q470</f>
        <v>324300</v>
      </c>
    </row>
    <row r="7" spans="1:21" ht="27" customHeight="1" x14ac:dyDescent="0.2">
      <c r="A7" s="497" t="str">
        <f>'Результаты расчетов'!A11</f>
        <v>МАОУ СОШ № 2 им.М.И.Грибушина структурное подразделение</v>
      </c>
      <c r="B7" s="498">
        <f>'Результаты расчетов'!R11</f>
        <v>10367.585800000001</v>
      </c>
      <c r="C7" s="498">
        <f>'Результаты расчетов'!R21</f>
        <v>10274.795520000001</v>
      </c>
      <c r="D7" s="498">
        <f>'Результаты расчетов'!R41</f>
        <v>10274.795520000001</v>
      </c>
      <c r="E7" s="498">
        <f>'Результаты расчетов'!R31</f>
        <v>10367.585800000001</v>
      </c>
      <c r="F7" s="498">
        <f>'Результаты расчетов'!R51</f>
        <v>17806.220636160004</v>
      </c>
      <c r="G7" s="498">
        <f>'Результаты расчетов'!R61</f>
        <v>1711.5600000000013</v>
      </c>
      <c r="H7" s="498">
        <f>'Результаты расчетов'!R71</f>
        <v>1711.5600000000013</v>
      </c>
      <c r="I7" s="498">
        <f>'Результаты расчетов'!R81</f>
        <v>30857.56</v>
      </c>
      <c r="J7" s="498">
        <f>'Результаты расчетов'!R91</f>
        <v>30857.56</v>
      </c>
      <c r="K7" s="498">
        <f>'Результаты расчетов'!R101</f>
        <v>1551.0899999999965</v>
      </c>
      <c r="L7" s="498">
        <f>'Результаты расчетов'!R111</f>
        <v>18841.089999999997</v>
      </c>
      <c r="M7" s="498">
        <f>'Результаты расчетов'!R121</f>
        <v>36131.089999999997</v>
      </c>
      <c r="N7" s="498">
        <f>'Результаты расчетов'!R131</f>
        <v>36131.089999999997</v>
      </c>
      <c r="O7" s="498">
        <f>'Результаты расчетов'!R141</f>
        <v>36131.089999999997</v>
      </c>
      <c r="P7" s="500">
        <f>'Результаты расчетов'!S41</f>
        <v>0</v>
      </c>
      <c r="Q7" s="500">
        <f>'Результаты расчетов'!S171</f>
        <v>28600</v>
      </c>
      <c r="R7" s="500">
        <f>'Результаты расчетов'!S331</f>
        <v>0</v>
      </c>
      <c r="S7" s="500">
        <f>'Результаты расчетов'!Q151</f>
        <v>210900</v>
      </c>
      <c r="T7" s="500">
        <f>'Результаты расчетов'!Q311</f>
        <v>210900</v>
      </c>
      <c r="U7" s="500">
        <f>'Результаты расчетов'!Q471</f>
        <v>210900</v>
      </c>
    </row>
    <row r="8" spans="1:21" ht="28.15" customHeight="1" x14ac:dyDescent="0.2">
      <c r="A8" s="497" t="str">
        <f>'Результаты расчетов'!A12</f>
        <v>МАОУ СОШ № 10 структурное подразделение</v>
      </c>
      <c r="B8" s="498">
        <f>'Результаты расчетов'!R12</f>
        <v>8492.8148500000007</v>
      </c>
      <c r="C8" s="498">
        <f>'Результаты расчетов'!R22</f>
        <v>8416.8038400000005</v>
      </c>
      <c r="D8" s="498">
        <f>'Результаты расчетов'!R42</f>
        <v>8416.8038400000005</v>
      </c>
      <c r="E8" s="498">
        <f>'Результаты расчетов'!R32</f>
        <v>8492.8148500000007</v>
      </c>
      <c r="F8" s="498">
        <f>'Результаты расчетов'!R52</f>
        <v>14586.321054720001</v>
      </c>
      <c r="G8" s="498">
        <f>'Результаты расчетов'!R62</f>
        <v>1711.5600000000013</v>
      </c>
      <c r="H8" s="498">
        <f>'Результаты расчетов'!R72</f>
        <v>1711.5600000000013</v>
      </c>
      <c r="I8" s="498">
        <f>'Результаты расчетов'!R82</f>
        <v>30857.56</v>
      </c>
      <c r="J8" s="498">
        <f>'Результаты расчетов'!R92</f>
        <v>30857.56</v>
      </c>
      <c r="K8" s="498">
        <f>'Результаты расчетов'!R102</f>
        <v>1551.0899999999965</v>
      </c>
      <c r="L8" s="498">
        <f>'Результаты расчетов'!R112</f>
        <v>18841.089999999997</v>
      </c>
      <c r="M8" s="498">
        <f>'Результаты расчетов'!R122</f>
        <v>36131.089999999997</v>
      </c>
      <c r="N8" s="498">
        <f>'Результаты расчетов'!R132</f>
        <v>36131.089999999997</v>
      </c>
      <c r="O8" s="498">
        <f>'Результаты расчетов'!R142</f>
        <v>36131.089999999997</v>
      </c>
      <c r="P8" s="500">
        <f>'Результаты расчетов'!S42</f>
        <v>0</v>
      </c>
      <c r="Q8" s="500">
        <f>'Результаты расчетов'!S172</f>
        <v>9100</v>
      </c>
      <c r="R8" s="500">
        <f>'Результаты расчетов'!S332</f>
        <v>0</v>
      </c>
      <c r="S8" s="500">
        <f>'Результаты расчетов'!Q152</f>
        <v>140700</v>
      </c>
      <c r="T8" s="500">
        <f>'Результаты расчетов'!Q312</f>
        <v>140700</v>
      </c>
      <c r="U8" s="500">
        <f>'Результаты расчетов'!Q472</f>
        <v>140700</v>
      </c>
    </row>
    <row r="9" spans="1:21" ht="27" customHeight="1" x14ac:dyDescent="0.2">
      <c r="A9" s="497" t="str">
        <f>'Результаты расчетов'!A13</f>
        <v>МАОУ СОШ № 13 структурное подразделение</v>
      </c>
      <c r="B9" s="498">
        <f>'Результаты расчетов'!R13</f>
        <v>13154.130600000002</v>
      </c>
      <c r="C9" s="498">
        <f>'Результаты расчетов'!R23</f>
        <v>13036.400640000002</v>
      </c>
      <c r="D9" s="498">
        <f>'Результаты расчетов'!R43</f>
        <v>13036.400640000002</v>
      </c>
      <c r="E9" s="498">
        <f>'Результаты расчетов'!R33</f>
        <v>13154.130600000002</v>
      </c>
      <c r="F9" s="498">
        <f>'Результаты расчетов'!R53</f>
        <v>22592.082309120004</v>
      </c>
      <c r="G9" s="498">
        <f>'Результаты расчетов'!R63</f>
        <v>1711.5600000000013</v>
      </c>
      <c r="H9" s="498">
        <f>'Результаты расчетов'!R73</f>
        <v>1711.5600000000013</v>
      </c>
      <c r="I9" s="498">
        <f>'Результаты расчетов'!R83</f>
        <v>30857.56</v>
      </c>
      <c r="J9" s="498">
        <f>'Результаты расчетов'!R93</f>
        <v>30857.56</v>
      </c>
      <c r="K9" s="498">
        <f>'Результаты расчетов'!R103</f>
        <v>1551.0899999999965</v>
      </c>
      <c r="L9" s="498">
        <f>'Результаты расчетов'!R113</f>
        <v>18841.089999999997</v>
      </c>
      <c r="M9" s="498">
        <f>'Результаты расчетов'!R123</f>
        <v>36131.089999999997</v>
      </c>
      <c r="N9" s="498">
        <f>'Результаты расчетов'!R133</f>
        <v>36131.089999999997</v>
      </c>
      <c r="O9" s="498">
        <f>'Результаты расчетов'!R143</f>
        <v>36131.089999999997</v>
      </c>
      <c r="P9" s="500">
        <f>'Результаты расчетов'!S43</f>
        <v>0</v>
      </c>
      <c r="Q9" s="500">
        <f>'Результаты расчетов'!S173</f>
        <v>21600</v>
      </c>
      <c r="R9" s="500">
        <f>'Результаты расчетов'!S333</f>
        <v>0</v>
      </c>
      <c r="S9" s="500">
        <f>'Результаты расчетов'!Q153</f>
        <v>376900</v>
      </c>
      <c r="T9" s="500">
        <f>'Результаты расчетов'!Q313</f>
        <v>376900</v>
      </c>
      <c r="U9" s="500">
        <f>'Результаты расчетов'!Q473</f>
        <v>376900</v>
      </c>
    </row>
    <row r="10" spans="1:21" ht="13.15" customHeight="1" x14ac:dyDescent="0.2">
      <c r="A10" s="497" t="str">
        <f>'Результаты расчетов'!A14</f>
        <v>Гимназия № 16 структурное подразделение</v>
      </c>
      <c r="B10" s="498">
        <f>'Результаты расчетов'!R14</f>
        <v>12590.674850000003</v>
      </c>
      <c r="C10" s="498">
        <f>'Результаты расчетов'!R24</f>
        <v>12477.987840000002</v>
      </c>
      <c r="D10" s="498">
        <f>'Результаты расчетов'!R44</f>
        <v>12477.987840000002</v>
      </c>
      <c r="E10" s="498">
        <f>'Результаты расчетов'!R34</f>
        <v>12590.674850000003</v>
      </c>
      <c r="F10" s="498">
        <f>'Результаты расчетов'!R54</f>
        <v>21624.352926720007</v>
      </c>
      <c r="G10" s="498">
        <f>'Результаты расчетов'!R64</f>
        <v>1711.5600000000013</v>
      </c>
      <c r="H10" s="498">
        <f>'Результаты расчетов'!R74</f>
        <v>1711.5600000000013</v>
      </c>
      <c r="I10" s="498">
        <f>'Результаты расчетов'!R84</f>
        <v>30857.56</v>
      </c>
      <c r="J10" s="498">
        <f>'Результаты расчетов'!R94</f>
        <v>30857.56</v>
      </c>
      <c r="K10" s="498">
        <f>'Результаты расчетов'!R104</f>
        <v>1551.0899999999965</v>
      </c>
      <c r="L10" s="498">
        <f>'Результаты расчетов'!R114</f>
        <v>18841.089999999997</v>
      </c>
      <c r="M10" s="498">
        <f>'Результаты расчетов'!R124</f>
        <v>36131.089999999997</v>
      </c>
      <c r="N10" s="498">
        <f>'Результаты расчетов'!R134</f>
        <v>36131.089999999997</v>
      </c>
      <c r="O10" s="498">
        <f>'Результаты расчетов'!R144</f>
        <v>36131.089999999997</v>
      </c>
      <c r="P10" s="500">
        <f>'Результаты расчетов'!S44</f>
        <v>0</v>
      </c>
      <c r="Q10" s="500">
        <f>'Результаты расчетов'!S174</f>
        <v>34800</v>
      </c>
      <c r="R10" s="500">
        <f>'Результаты расчетов'!S334</f>
        <v>0</v>
      </c>
      <c r="S10" s="500">
        <f>'Результаты расчетов'!Q154</f>
        <v>286100</v>
      </c>
      <c r="T10" s="500">
        <f>'Результаты расчетов'!Q314</f>
        <v>286100</v>
      </c>
      <c r="U10" s="500">
        <f>'Результаты расчетов'!Q474</f>
        <v>286100</v>
      </c>
    </row>
    <row r="11" spans="1:21" ht="27" customHeight="1" x14ac:dyDescent="0.2">
      <c r="A11" s="497" t="str">
        <f>'Результаты расчетов'!A15</f>
        <v>МАОУ ООШ № 17 с кадетскими классами структурное подразделение</v>
      </c>
      <c r="B11" s="498">
        <f>'Результаты расчетов'!R15</f>
        <v>26052.144950000005</v>
      </c>
      <c r="C11" s="498">
        <f>'Результаты расчетов'!R25</f>
        <v>25818.977280000003</v>
      </c>
      <c r="D11" s="498">
        <f>'Результаты расчетов'!R45</f>
        <v>25818.977280000003</v>
      </c>
      <c r="E11" s="498">
        <f>'Результаты расчетов'!R35</f>
        <v>26052.144950000005</v>
      </c>
      <c r="F11" s="498">
        <f>'Результаты расчетов'!R55</f>
        <v>44744.28762624001</v>
      </c>
      <c r="G11" s="498">
        <f>'Результаты расчетов'!R65</f>
        <v>1711.5600000000013</v>
      </c>
      <c r="H11" s="498">
        <f>'Результаты расчетов'!R75</f>
        <v>1711.5600000000013</v>
      </c>
      <c r="I11" s="498">
        <f>'Результаты расчетов'!R85</f>
        <v>30857.56</v>
      </c>
      <c r="J11" s="498">
        <f>'Результаты расчетов'!R95</f>
        <v>30857.56</v>
      </c>
      <c r="K11" s="498">
        <f>'Результаты расчетов'!R105</f>
        <v>1551.0899999999965</v>
      </c>
      <c r="L11" s="498">
        <f>'Результаты расчетов'!R115</f>
        <v>18841.089999999997</v>
      </c>
      <c r="M11" s="498">
        <f>'Результаты расчетов'!R125</f>
        <v>36131.089999999997</v>
      </c>
      <c r="N11" s="498">
        <f>'Результаты расчетов'!R135</f>
        <v>36131.089999999997</v>
      </c>
      <c r="O11" s="498">
        <f>'Результаты расчетов'!R145</f>
        <v>36131.089999999997</v>
      </c>
      <c r="P11" s="500">
        <f>'Результаты расчетов'!S45</f>
        <v>0</v>
      </c>
      <c r="Q11" s="500">
        <f>'Результаты расчетов'!S175</f>
        <v>22700</v>
      </c>
      <c r="R11" s="500">
        <f>'Результаты расчетов'!S335</f>
        <v>0</v>
      </c>
      <c r="S11" s="500">
        <f>'Результаты расчетов'!Q155</f>
        <v>38000</v>
      </c>
      <c r="T11" s="500">
        <f>'Результаты расчетов'!Q315</f>
        <v>38000</v>
      </c>
      <c r="U11" s="500">
        <f>'Результаты расчетов'!Q475</f>
        <v>38000</v>
      </c>
    </row>
    <row r="12" spans="1:21" x14ac:dyDescent="0.2">
      <c r="A12" s="495"/>
      <c r="B12" s="186">
        <f>SUM('Результаты расчетов'!R7:R15)-SUM(B3:B11)</f>
        <v>0</v>
      </c>
      <c r="C12" s="186">
        <f>SUM('Результаты расчетов'!R17:R25)-SUM(C3:C11)</f>
        <v>0</v>
      </c>
      <c r="D12" s="186">
        <f>SUM('Результаты расчетов'!R37:R45)-SUM(D3:D11)</f>
        <v>0</v>
      </c>
      <c r="E12" s="186">
        <f>SUM('Результаты расчетов'!R27:R35)-SUM(E3:E11)</f>
        <v>0</v>
      </c>
      <c r="F12" s="186">
        <f>SUM('Результаты расчетов'!R47:R55)-SUM(F3:F11)</f>
        <v>0</v>
      </c>
      <c r="G12" s="186">
        <f>SUM('Результаты расчетов'!R57:R65)-SUM(G3:G11)</f>
        <v>0</v>
      </c>
      <c r="H12" s="186">
        <f>SUM('Результаты расчетов'!R67:R75)-SUM(H3:H11)</f>
        <v>0</v>
      </c>
      <c r="I12" s="186">
        <f>SUM('Результаты расчетов'!R77:R85)-SUM(I3:I11)</f>
        <v>0</v>
      </c>
      <c r="J12" s="186">
        <f>SUM('Результаты расчетов'!R87:R95)-SUM(J3:J11)</f>
        <v>0</v>
      </c>
      <c r="K12" s="186">
        <f>SUM('Результаты расчетов'!R97:R105)-SUM(K3:K11)</f>
        <v>0</v>
      </c>
      <c r="L12" s="186">
        <f>SUM('Результаты расчетов'!R107:R115)-SUM(L3:L11)</f>
        <v>0</v>
      </c>
      <c r="M12" s="186">
        <f>SUM('Результаты расчетов'!R117:R125)-SUM(M3:M11)</f>
        <v>0</v>
      </c>
      <c r="N12" s="186">
        <f>SUM('Результаты расчетов'!R127:R135)-SUM(N3:N11)</f>
        <v>0</v>
      </c>
      <c r="O12" s="186">
        <f>SUM('Результаты расчетов'!R137:R145)-SUM(O3:O11)</f>
        <v>0</v>
      </c>
      <c r="P12" s="803">
        <f>SUM('Результаты расчетов'!R6:R145)-SUM(B3:O11)</f>
        <v>0</v>
      </c>
      <c r="Q12" s="186"/>
    </row>
    <row r="14" spans="1:21" s="238" customFormat="1" x14ac:dyDescent="0.2">
      <c r="A14" s="432" t="s">
        <v>387</v>
      </c>
    </row>
    <row r="15" spans="1:21" ht="186.6" customHeight="1" x14ac:dyDescent="0.2">
      <c r="A15" s="496" t="s">
        <v>132</v>
      </c>
      <c r="B15" s="496" t="str">
        <f t="shared" ref="B15:O15" si="0">B2</f>
        <v>Реализация основных общеобразовательных программ дошкольного образования От 1 года до 3 лет Очная группа полного дня</v>
      </c>
      <c r="C15" s="496" t="str">
        <f t="shared" si="0"/>
        <v>Реализация основных общеобразовательных программ дошкольного образования От 3 лет до 8 лет Очная группа полного дня</v>
      </c>
      <c r="D15" s="496" t="str">
        <f t="shared" si="0"/>
        <v>Реализация основных общеобразовательных программ дошкольного образования Обучающиеся с ограниченными возможностями здоровья (ОВЗ) От 3 лет до 8 лет Очная группа полного дня</v>
      </c>
      <c r="E15" s="496" t="str">
        <f t="shared" si="0"/>
        <v>Реализация основных общеобразовательных программ дошкольного образования Обучающиеся с ограниченными возможностями здоровья (ОВЗ) От 1 года до 3 лет Очная группа полного дня</v>
      </c>
      <c r="F15" s="496" t="str">
        <f t="shared" si="0"/>
        <v>Реализация основных общеобразовательных программ дошкольного образования Адаптированная образовательная программа От 3 лет до 8 лет Очная группа полного дня</v>
      </c>
      <c r="G15" s="496" t="str">
        <f t="shared" si="0"/>
        <v>Присмотр и уход Физические лица за исключением льготных категорий От 1 года до 3 лет Группа полного дня</v>
      </c>
      <c r="H15" s="496" t="str">
        <f t="shared" si="0"/>
        <v>Присмотр и уход Физические лица льготных категорий, определяемых учредителем От 3 лет до 8 лет группа полного дня</v>
      </c>
      <c r="I15" s="496" t="str">
        <f>I2</f>
        <v>Присмотр и уход Дети-сироты и дети, оставшиеся без попечения родителей От 1 года до 3 лет Группа полного дня</v>
      </c>
      <c r="J15" s="496" t="str">
        <f>J2</f>
        <v>Присмотр и уход Дети-инвалиды От 1 лет до 3 лет группа полного дня</v>
      </c>
      <c r="K15" s="496" t="str">
        <f t="shared" si="0"/>
        <v>Присмотр и уход Физические лица за исключением льготных категорий От 3 лет до 8 лет Группа полного дня</v>
      </c>
      <c r="L15" s="496" t="str">
        <f t="shared" si="0"/>
        <v>Присмотр и уход Физические лица льготных категорий, определяемых учредителем От 3 года до 8 лет Группа полного дня</v>
      </c>
      <c r="M15" s="496" t="str">
        <f t="shared" si="0"/>
        <v>Присмотр и уход Дети-сироты и дети, оставшиеся без попечения родителей От 3 лет до 8 лет Группа полного дня</v>
      </c>
      <c r="N15" s="496" t="str">
        <f t="shared" si="0"/>
        <v>Присмотр и уход Дети-инвалиды От 3 лет до 8 лет группа полного дня</v>
      </c>
      <c r="O15" s="496" t="str">
        <f t="shared" si="0"/>
        <v>Присмотр и уход Дети с туберкулезной интоксикацией От 3 лет до 8 лет группа полного дня</v>
      </c>
    </row>
    <row r="16" spans="1:21" ht="13.15" customHeight="1" x14ac:dyDescent="0.2">
      <c r="A16" s="497" t="str">
        <f t="shared" ref="A16:A24" si="1">A3</f>
        <v>МАДОУ ЦРР-детский сад № 2</v>
      </c>
      <c r="B16" s="498">
        <f>'Результаты расчетов'!R167</f>
        <v>10854.083749999998</v>
      </c>
      <c r="C16" s="498">
        <f>'Результаты расчетов'!R177</f>
        <v>10760.101499999999</v>
      </c>
      <c r="D16" s="498">
        <f>'Результаты расчетов'!R197</f>
        <v>10760.101499999999</v>
      </c>
      <c r="E16" s="498">
        <f>'Результаты расчетов'!R187</f>
        <v>10854.083749999998</v>
      </c>
      <c r="F16" s="498">
        <f>'Результаты расчетов'!R207</f>
        <v>18647.2558995</v>
      </c>
      <c r="G16" s="498">
        <f>'Результаты расчетов'!R217</f>
        <v>1711.5600000000013</v>
      </c>
      <c r="H16" s="498">
        <f>'Результаты расчетов'!R227</f>
        <v>30857.56</v>
      </c>
      <c r="I16" s="498">
        <f>'Результаты расчетов'!R237</f>
        <v>30857.56</v>
      </c>
      <c r="J16" s="498">
        <f>'Результаты расчетов'!R247</f>
        <v>30857.56</v>
      </c>
      <c r="K16" s="498">
        <f>'Результаты расчетов'!R257</f>
        <v>1551.0899999999965</v>
      </c>
      <c r="L16" s="498">
        <f>'Результаты расчетов'!R267</f>
        <v>18841.089999999997</v>
      </c>
      <c r="M16" s="498">
        <f>'Результаты расчетов'!R277</f>
        <v>36131.089999999997</v>
      </c>
      <c r="N16" s="498">
        <f>'Результаты расчетов'!R287</f>
        <v>36131.089999999997</v>
      </c>
      <c r="O16" s="498">
        <f>'Результаты расчетов'!R297</f>
        <v>36131.089999999997</v>
      </c>
      <c r="P16" s="500">
        <f>'Результаты расчетов'!S57</f>
        <v>0</v>
      </c>
      <c r="Q16" s="500">
        <f>'Результаты расчетов'!S217</f>
        <v>0</v>
      </c>
      <c r="R16" s="500">
        <f>'Результаты расчетов'!S377</f>
        <v>0</v>
      </c>
      <c r="S16" s="500">
        <f t="shared" ref="S16:S24" si="2">P3+P16+P29+S3</f>
        <v>1024000</v>
      </c>
      <c r="T16" s="500">
        <f t="shared" ref="T16:T24" si="3">Q3+Q16+Q29+T3</f>
        <v>1052400</v>
      </c>
      <c r="U16" s="500">
        <f t="shared" ref="U16:U24" si="4">R3+R16+R29+U3</f>
        <v>1023800</v>
      </c>
    </row>
    <row r="17" spans="1:21" ht="13.15" customHeight="1" x14ac:dyDescent="0.2">
      <c r="A17" s="497" t="str">
        <f t="shared" si="1"/>
        <v>МАДОУ ЦРР-детский сад № 11</v>
      </c>
      <c r="B17" s="498">
        <f>'Результаты расчетов'!R168</f>
        <v>9932.8102999999974</v>
      </c>
      <c r="C17" s="498">
        <f>'Результаты расчетов'!R178</f>
        <v>9846.8050800000001</v>
      </c>
      <c r="D17" s="498">
        <f>'Результаты расчетов'!R198</f>
        <v>9846.8050800000001</v>
      </c>
      <c r="E17" s="498">
        <f>'Результаты расчетов'!R188</f>
        <v>9932.8102999999974</v>
      </c>
      <c r="F17" s="498">
        <f>'Результаты расчетов'!R208</f>
        <v>17064.513203639999</v>
      </c>
      <c r="G17" s="498">
        <f>'Результаты расчетов'!R218</f>
        <v>1711.5600000000013</v>
      </c>
      <c r="H17" s="498">
        <f>'Результаты расчетов'!R228</f>
        <v>30857.56</v>
      </c>
      <c r="I17" s="498">
        <f>'Результаты расчетов'!R238</f>
        <v>30857.56</v>
      </c>
      <c r="J17" s="498">
        <f>'Результаты расчетов'!R248</f>
        <v>30857.56</v>
      </c>
      <c r="K17" s="498">
        <f>'Результаты расчетов'!R258</f>
        <v>1551.0899999999965</v>
      </c>
      <c r="L17" s="498">
        <f>'Результаты расчетов'!R268</f>
        <v>18841.089999999997</v>
      </c>
      <c r="M17" s="498">
        <f>'Результаты расчетов'!R278</f>
        <v>36131.089999999997</v>
      </c>
      <c r="N17" s="498">
        <f>'Результаты расчетов'!R288</f>
        <v>36131.089999999997</v>
      </c>
      <c r="O17" s="498">
        <f>'Результаты расчетов'!R298</f>
        <v>36131.089999999997</v>
      </c>
      <c r="P17" s="500">
        <f>'Результаты расчетов'!S58</f>
        <v>0</v>
      </c>
      <c r="Q17" s="500">
        <f>'Результаты расчетов'!S218</f>
        <v>0</v>
      </c>
      <c r="R17" s="500">
        <f>'Результаты расчетов'!S378</f>
        <v>0</v>
      </c>
      <c r="S17" s="500">
        <f t="shared" si="2"/>
        <v>3421000</v>
      </c>
      <c r="T17" s="500">
        <f t="shared" si="3"/>
        <v>3468500</v>
      </c>
      <c r="U17" s="500">
        <f t="shared" si="4"/>
        <v>3421000</v>
      </c>
    </row>
    <row r="18" spans="1:21" ht="13.15" customHeight="1" x14ac:dyDescent="0.2">
      <c r="A18" s="497" t="str">
        <f t="shared" si="1"/>
        <v>МАДОУ ЦРР-детский сад № 13</v>
      </c>
      <c r="B18" s="498">
        <f>'Результаты расчетов'!R169</f>
        <v>10208.133399999999</v>
      </c>
      <c r="C18" s="498">
        <f>'Результаты расчетов'!R179</f>
        <v>10119.74424</v>
      </c>
      <c r="D18" s="498">
        <f>'Результаты расчетов'!R199</f>
        <v>10119.74424</v>
      </c>
      <c r="E18" s="498">
        <f>'Результаты расчетов'!R189</f>
        <v>10208.133399999999</v>
      </c>
      <c r="F18" s="498">
        <f>'Результаты расчетов'!R209</f>
        <v>17537.516767920002</v>
      </c>
      <c r="G18" s="498">
        <f>'Результаты расчетов'!R219</f>
        <v>1711.5600000000013</v>
      </c>
      <c r="H18" s="498">
        <f>'Результаты расчетов'!R229</f>
        <v>30857.56</v>
      </c>
      <c r="I18" s="498">
        <f>'Результаты расчетов'!R239</f>
        <v>30857.56</v>
      </c>
      <c r="J18" s="498">
        <f>'Результаты расчетов'!R249</f>
        <v>30857.56</v>
      </c>
      <c r="K18" s="498">
        <f>'Результаты расчетов'!R259</f>
        <v>1551.0899999999965</v>
      </c>
      <c r="L18" s="498">
        <f>'Результаты расчетов'!R269</f>
        <v>18841.089999999997</v>
      </c>
      <c r="M18" s="498">
        <f>'Результаты расчетов'!R279</f>
        <v>36131.089999999997</v>
      </c>
      <c r="N18" s="498">
        <f>'Результаты расчетов'!R289</f>
        <v>36131.089999999997</v>
      </c>
      <c r="O18" s="498">
        <f>'Результаты расчетов'!R299</f>
        <v>36131.089999999997</v>
      </c>
      <c r="P18" s="500">
        <f>'Результаты расчетов'!S59</f>
        <v>0</v>
      </c>
      <c r="Q18" s="500">
        <f>'Результаты расчетов'!S219</f>
        <v>0</v>
      </c>
      <c r="R18" s="500">
        <f>'Результаты расчетов'!S379</f>
        <v>0</v>
      </c>
      <c r="S18" s="500">
        <f t="shared" si="2"/>
        <v>1931100</v>
      </c>
      <c r="T18" s="500">
        <f t="shared" si="3"/>
        <v>2003200</v>
      </c>
      <c r="U18" s="500">
        <f t="shared" si="4"/>
        <v>1931100</v>
      </c>
    </row>
    <row r="19" spans="1:21" ht="25.9" customHeight="1" x14ac:dyDescent="0.2">
      <c r="A19" s="497" t="str">
        <f t="shared" si="1"/>
        <v>МАОУ СОШ № 1 структурное подразделение</v>
      </c>
      <c r="B19" s="498">
        <f>'Результаты расчетов'!R170</f>
        <v>9403.3427999999985</v>
      </c>
      <c r="C19" s="498">
        <f>'Результаты расчетов'!R180</f>
        <v>9321.9220800000003</v>
      </c>
      <c r="D19" s="498">
        <f>'Результаты расчетов'!R200</f>
        <v>9321.9220800000003</v>
      </c>
      <c r="E19" s="498">
        <f>'Результаты расчетов'!R190</f>
        <v>9403.3427999999985</v>
      </c>
      <c r="F19" s="498">
        <f>'Результаты расчетов'!R210</f>
        <v>16154.890964640002</v>
      </c>
      <c r="G19" s="498">
        <f>'Результаты расчетов'!R220</f>
        <v>1711.5600000000013</v>
      </c>
      <c r="H19" s="498">
        <f>'Результаты расчетов'!R230</f>
        <v>30857.56</v>
      </c>
      <c r="I19" s="498">
        <f>'Результаты расчетов'!R240</f>
        <v>30857.56</v>
      </c>
      <c r="J19" s="498">
        <f>'Результаты расчетов'!R250</f>
        <v>30857.56</v>
      </c>
      <c r="K19" s="498">
        <f>'Результаты расчетов'!R260</f>
        <v>1551.0899999999965</v>
      </c>
      <c r="L19" s="498">
        <f>'Результаты расчетов'!R270</f>
        <v>18841.089999999997</v>
      </c>
      <c r="M19" s="498">
        <f>'Результаты расчетов'!R280</f>
        <v>36131.089999999997</v>
      </c>
      <c r="N19" s="498">
        <f>'Результаты расчетов'!R290</f>
        <v>36131.089999999997</v>
      </c>
      <c r="O19" s="498">
        <f>'Результаты расчетов'!R300</f>
        <v>36131.089999999997</v>
      </c>
      <c r="P19" s="500">
        <f>'Результаты расчетов'!S60</f>
        <v>0</v>
      </c>
      <c r="Q19" s="500">
        <f>'Результаты расчетов'!S220</f>
        <v>0</v>
      </c>
      <c r="R19" s="500">
        <f>'Результаты расчетов'!S380</f>
        <v>0</v>
      </c>
      <c r="S19" s="500">
        <f t="shared" si="2"/>
        <v>615700</v>
      </c>
      <c r="T19" s="500">
        <f t="shared" si="3"/>
        <v>632200</v>
      </c>
      <c r="U19" s="500">
        <f t="shared" si="4"/>
        <v>615700</v>
      </c>
    </row>
    <row r="20" spans="1:21" ht="25.9" customHeight="1" x14ac:dyDescent="0.2">
      <c r="A20" s="497" t="str">
        <f t="shared" si="1"/>
        <v>МАОУ СОШ № 2 им.М.И.Грибушина структурное подразделение</v>
      </c>
      <c r="B20" s="498">
        <f>'Результаты расчетов'!R171</f>
        <v>10716.422199999999</v>
      </c>
      <c r="C20" s="498">
        <f>'Результаты расчетов'!R181</f>
        <v>10623.63192</v>
      </c>
      <c r="D20" s="498">
        <f>'Результаты расчетов'!R201</f>
        <v>10623.63192</v>
      </c>
      <c r="E20" s="498">
        <f>'Результаты расчетов'!R191</f>
        <v>10716.422199999999</v>
      </c>
      <c r="F20" s="498">
        <f>'Результаты расчетов'!R211</f>
        <v>18410.75411736</v>
      </c>
      <c r="G20" s="498">
        <f>'Результаты расчетов'!R221</f>
        <v>1711.5600000000013</v>
      </c>
      <c r="H20" s="498">
        <f>'Результаты расчетов'!R231</f>
        <v>30857.56</v>
      </c>
      <c r="I20" s="498">
        <f>'Результаты расчетов'!R241</f>
        <v>30857.56</v>
      </c>
      <c r="J20" s="498">
        <f>'Результаты расчетов'!R251</f>
        <v>30857.56</v>
      </c>
      <c r="K20" s="498">
        <f>'Результаты расчетов'!R261</f>
        <v>1551.0899999999965</v>
      </c>
      <c r="L20" s="498">
        <f>'Результаты расчетов'!R271</f>
        <v>18841.089999999997</v>
      </c>
      <c r="M20" s="498">
        <f>'Результаты расчетов'!R281</f>
        <v>36131.089999999997</v>
      </c>
      <c r="N20" s="498">
        <f>'Результаты расчетов'!R291</f>
        <v>36131.089999999997</v>
      </c>
      <c r="O20" s="498">
        <f>'Результаты расчетов'!R301</f>
        <v>36131.089999999997</v>
      </c>
      <c r="P20" s="500">
        <f>'Результаты расчетов'!S61</f>
        <v>0</v>
      </c>
      <c r="Q20" s="500">
        <f>'Результаты расчетов'!S221</f>
        <v>0</v>
      </c>
      <c r="R20" s="500">
        <f>'Результаты расчетов'!S381</f>
        <v>0</v>
      </c>
      <c r="S20" s="500">
        <f t="shared" si="2"/>
        <v>460700</v>
      </c>
      <c r="T20" s="500">
        <f t="shared" si="3"/>
        <v>489300</v>
      </c>
      <c r="U20" s="500">
        <f t="shared" si="4"/>
        <v>460700</v>
      </c>
    </row>
    <row r="21" spans="1:21" ht="26.45" customHeight="1" x14ac:dyDescent="0.2">
      <c r="A21" s="497" t="str">
        <f t="shared" si="1"/>
        <v>МАОУ СОШ № 10 структурное подразделение</v>
      </c>
      <c r="B21" s="498">
        <f>'Результаты расчетов'!R172</f>
        <v>8778.5711499999979</v>
      </c>
      <c r="C21" s="498">
        <f>'Результаты расчетов'!R182</f>
        <v>8702.5601399999996</v>
      </c>
      <c r="D21" s="498">
        <f>'Результаты расчетов'!R202</f>
        <v>8702.5601399999996</v>
      </c>
      <c r="E21" s="498">
        <f>'Результаты расчетов'!R192</f>
        <v>8778.5711499999979</v>
      </c>
      <c r="F21" s="498">
        <f>'Результаты расчетов'!R212</f>
        <v>15081.536722620001</v>
      </c>
      <c r="G21" s="498">
        <f>'Результаты расчетов'!R222</f>
        <v>1711.5600000000013</v>
      </c>
      <c r="H21" s="498">
        <f>'Результаты расчетов'!R232</f>
        <v>30857.56</v>
      </c>
      <c r="I21" s="498">
        <f>'Результаты расчетов'!R242</f>
        <v>30857.56</v>
      </c>
      <c r="J21" s="498">
        <f>'Результаты расчетов'!R252</f>
        <v>30857.56</v>
      </c>
      <c r="K21" s="498">
        <f>'Результаты расчетов'!R262</f>
        <v>1551.0899999999965</v>
      </c>
      <c r="L21" s="498">
        <f>'Результаты расчетов'!R272</f>
        <v>18841.089999999997</v>
      </c>
      <c r="M21" s="498">
        <f>'Результаты расчетов'!R282</f>
        <v>36131.089999999997</v>
      </c>
      <c r="N21" s="498">
        <f>'Результаты расчетов'!R292</f>
        <v>36131.089999999997</v>
      </c>
      <c r="O21" s="498">
        <f>'Результаты расчетов'!R302</f>
        <v>36131.089999999997</v>
      </c>
      <c r="P21" s="500">
        <f>'Результаты расчетов'!S62</f>
        <v>0</v>
      </c>
      <c r="Q21" s="500">
        <f>'Результаты расчетов'!S222</f>
        <v>0</v>
      </c>
      <c r="R21" s="500">
        <f>'Результаты расчетов'!S382</f>
        <v>0</v>
      </c>
      <c r="S21" s="500">
        <f t="shared" si="2"/>
        <v>307200</v>
      </c>
      <c r="T21" s="500">
        <f t="shared" si="3"/>
        <v>316300</v>
      </c>
      <c r="U21" s="500">
        <f t="shared" si="4"/>
        <v>307200</v>
      </c>
    </row>
    <row r="22" spans="1:21" ht="26.45" customHeight="1" x14ac:dyDescent="0.2">
      <c r="A22" s="497" t="str">
        <f t="shared" si="1"/>
        <v>МАОУ СОШ № 13 структурное подразделение</v>
      </c>
      <c r="B22" s="498">
        <f>'Результаты расчетов'!R173</f>
        <v>13596.725399999999</v>
      </c>
      <c r="C22" s="498">
        <f>'Результаты расчетов'!R183</f>
        <v>13478.995440000001</v>
      </c>
      <c r="D22" s="498">
        <f>'Результаты расчетов'!R203</f>
        <v>13478.995440000001</v>
      </c>
      <c r="E22" s="498">
        <f>'Результаты расчетов'!R193</f>
        <v>13596.725399999999</v>
      </c>
      <c r="F22" s="498">
        <f>'Результаты расчетов'!R213</f>
        <v>23359.099097520004</v>
      </c>
      <c r="G22" s="498">
        <f>'Результаты расчетов'!R223</f>
        <v>1711.5600000000013</v>
      </c>
      <c r="H22" s="498">
        <f>'Результаты расчетов'!R233</f>
        <v>30857.56</v>
      </c>
      <c r="I22" s="498">
        <f>'Результаты расчетов'!R243</f>
        <v>30857.56</v>
      </c>
      <c r="J22" s="498">
        <f>'Результаты расчетов'!R253</f>
        <v>30857.56</v>
      </c>
      <c r="K22" s="498">
        <f>'Результаты расчетов'!R263</f>
        <v>1551.0899999999965</v>
      </c>
      <c r="L22" s="498">
        <f>'Результаты расчетов'!R273</f>
        <v>18841.089999999997</v>
      </c>
      <c r="M22" s="498">
        <f>'Результаты расчетов'!R283</f>
        <v>36131.089999999997</v>
      </c>
      <c r="N22" s="498">
        <f>'Результаты расчетов'!R293</f>
        <v>36131.089999999997</v>
      </c>
      <c r="O22" s="498">
        <f>'Результаты расчетов'!R303</f>
        <v>36131.089999999997</v>
      </c>
      <c r="P22" s="500">
        <f>'Результаты расчетов'!S63</f>
        <v>0</v>
      </c>
      <c r="Q22" s="500">
        <f>'Результаты расчетов'!S223</f>
        <v>0</v>
      </c>
      <c r="R22" s="500">
        <f>'Результаты расчетов'!S383</f>
        <v>0</v>
      </c>
      <c r="S22" s="500">
        <f t="shared" si="2"/>
        <v>481000</v>
      </c>
      <c r="T22" s="500">
        <f t="shared" si="3"/>
        <v>502600</v>
      </c>
      <c r="U22" s="500">
        <f t="shared" si="4"/>
        <v>481000</v>
      </c>
    </row>
    <row r="23" spans="1:21" ht="24" x14ac:dyDescent="0.2">
      <c r="A23" s="497" t="str">
        <f t="shared" si="1"/>
        <v>Гимназия № 16 структурное подразделение</v>
      </c>
      <c r="B23" s="498">
        <f>'Результаты расчетов'!R174</f>
        <v>13014.31115</v>
      </c>
      <c r="C23" s="498">
        <f>'Результаты расчетов'!R184</f>
        <v>12901.62414</v>
      </c>
      <c r="D23" s="498">
        <f>'Результаты расчетов'!R204</f>
        <v>12901.62414</v>
      </c>
      <c r="E23" s="498">
        <f>'Результаты расчетов'!R194</f>
        <v>13014.31115</v>
      </c>
      <c r="F23" s="498">
        <f>'Результаты расчетов'!R214</f>
        <v>22358.514634620005</v>
      </c>
      <c r="G23" s="498">
        <f>'Результаты расчетов'!R224</f>
        <v>1711.5600000000013</v>
      </c>
      <c r="H23" s="498">
        <f>'Результаты расчетов'!R234</f>
        <v>30857.56</v>
      </c>
      <c r="I23" s="498">
        <f>'Результаты расчетов'!R244</f>
        <v>30857.56</v>
      </c>
      <c r="J23" s="498">
        <f>'Результаты расчетов'!R254</f>
        <v>30857.56</v>
      </c>
      <c r="K23" s="498">
        <f>'Результаты расчетов'!R264</f>
        <v>1551.0899999999965</v>
      </c>
      <c r="L23" s="498">
        <f>'Результаты расчетов'!R274</f>
        <v>18841.089999999997</v>
      </c>
      <c r="M23" s="498">
        <f>'Результаты расчетов'!R284</f>
        <v>36131.089999999997</v>
      </c>
      <c r="N23" s="498">
        <f>'Результаты расчетов'!R294</f>
        <v>36131.089999999997</v>
      </c>
      <c r="O23" s="498">
        <f>'Результаты расчетов'!R304</f>
        <v>36131.089999999997</v>
      </c>
      <c r="P23" s="500">
        <f>'Результаты расчетов'!S64</f>
        <v>0</v>
      </c>
      <c r="Q23" s="500">
        <f>'Результаты расчетов'!S224</f>
        <v>0</v>
      </c>
      <c r="R23" s="500">
        <f>'Результаты расчетов'!S384</f>
        <v>0</v>
      </c>
      <c r="S23" s="500">
        <f t="shared" si="2"/>
        <v>494300</v>
      </c>
      <c r="T23" s="500">
        <f t="shared" si="3"/>
        <v>529100</v>
      </c>
      <c r="U23" s="500">
        <f t="shared" si="4"/>
        <v>494300</v>
      </c>
    </row>
    <row r="24" spans="1:21" ht="26.45" customHeight="1" x14ac:dyDescent="0.2">
      <c r="A24" s="497" t="str">
        <f t="shared" si="1"/>
        <v>МАОУ ООШ № 17 с кадетскими классами структурное подразделение</v>
      </c>
      <c r="B24" s="498">
        <f>'Результаты расчетов'!R175</f>
        <v>26928.717049999999</v>
      </c>
      <c r="C24" s="498">
        <f>'Результаты расчетов'!R185</f>
        <v>26695.54938</v>
      </c>
      <c r="D24" s="498">
        <f>'Результаты расчетов'!R205</f>
        <v>26695.54938</v>
      </c>
      <c r="E24" s="498">
        <f>'Результаты расчетов'!R195</f>
        <v>26928.717049999999</v>
      </c>
      <c r="F24" s="498">
        <f>'Результаты расчетов'!R215</f>
        <v>46263.387075540006</v>
      </c>
      <c r="G24" s="498">
        <f>'Результаты расчетов'!R225</f>
        <v>1711.5600000000013</v>
      </c>
      <c r="H24" s="498">
        <f>'Результаты расчетов'!R235</f>
        <v>30857.56</v>
      </c>
      <c r="I24" s="498">
        <f>'Результаты расчетов'!R245</f>
        <v>30857.56</v>
      </c>
      <c r="J24" s="498">
        <f>'Результаты расчетов'!R255</f>
        <v>30857.56</v>
      </c>
      <c r="K24" s="498">
        <f>'Результаты расчетов'!R265</f>
        <v>1551.0899999999965</v>
      </c>
      <c r="L24" s="498">
        <f>'Результаты расчетов'!R275</f>
        <v>18841.089999999997</v>
      </c>
      <c r="M24" s="498">
        <f>'Результаты расчетов'!R285</f>
        <v>36131.089999999997</v>
      </c>
      <c r="N24" s="498">
        <f>'Результаты расчетов'!R295</f>
        <v>36131.089999999997</v>
      </c>
      <c r="O24" s="498">
        <f>'Результаты расчетов'!R305</f>
        <v>36131.089999999997</v>
      </c>
      <c r="P24" s="500">
        <f>'Результаты расчетов'!S65</f>
        <v>0</v>
      </c>
      <c r="Q24" s="500">
        <f>'Результаты расчетов'!S225</f>
        <v>0</v>
      </c>
      <c r="R24" s="500">
        <f>'Результаты расчетов'!S385</f>
        <v>0</v>
      </c>
      <c r="S24" s="500">
        <f t="shared" si="2"/>
        <v>58800</v>
      </c>
      <c r="T24" s="500">
        <f t="shared" si="3"/>
        <v>81500</v>
      </c>
      <c r="U24" s="500">
        <f t="shared" si="4"/>
        <v>58800</v>
      </c>
    </row>
    <row r="25" spans="1:21" x14ac:dyDescent="0.2">
      <c r="B25" s="186">
        <f>SUM('Результаты расчетов'!R167:R175)-SUM(B16:B24)</f>
        <v>0</v>
      </c>
      <c r="C25" s="186">
        <f>SUM('Результаты расчетов'!R177:R185)-SUM(C16:C24)</f>
        <v>0</v>
      </c>
      <c r="D25" s="186">
        <f>SUM('Результаты расчетов'!R197:R205)-SUM(D16:D24)</f>
        <v>0</v>
      </c>
      <c r="E25" s="186">
        <f>SUM('Результаты расчетов'!R187:R195)-SUM(E16:E24)</f>
        <v>0</v>
      </c>
      <c r="F25" s="186">
        <f>SUM('Результаты расчетов'!R207:R215)-SUM(F16:F24)</f>
        <v>0</v>
      </c>
      <c r="G25" s="186">
        <f>SUM('Результаты расчетов'!R217:R225)-SUM(G16:G24)</f>
        <v>0</v>
      </c>
      <c r="H25" s="186">
        <f>SUM('Результаты расчетов'!R227:R235)-SUM(H16:H24)</f>
        <v>0</v>
      </c>
      <c r="I25" s="186">
        <f>SUM('Результаты расчетов'!R237:R245)-SUM(I16:I24)</f>
        <v>0</v>
      </c>
      <c r="J25" s="186">
        <f>SUM('Результаты расчетов'!R247:R255)-SUM(J16:J24)</f>
        <v>0</v>
      </c>
      <c r="K25" s="186">
        <f>SUM('Результаты расчетов'!R257:R265)-SUM(K16:K24)</f>
        <v>0</v>
      </c>
      <c r="L25" s="186">
        <f>SUM('Результаты расчетов'!R267:R275)-SUM(L16:L24)</f>
        <v>0</v>
      </c>
      <c r="M25" s="186">
        <f>SUM('Результаты расчетов'!R277:R285)-SUM(M16:M24)</f>
        <v>0</v>
      </c>
      <c r="N25" s="186">
        <f>SUM('Результаты расчетов'!R287:R295)-SUM(N16:N24)</f>
        <v>0</v>
      </c>
      <c r="O25" s="186">
        <f>SUM('Результаты расчетов'!R297:R305)-SUM(O16:O24)</f>
        <v>0</v>
      </c>
      <c r="P25" s="803">
        <f>SUM('Результаты расчетов'!R166:R305)-SUM(B16:O24)</f>
        <v>0</v>
      </c>
    </row>
    <row r="27" spans="1:21" s="238" customFormat="1" x14ac:dyDescent="0.2">
      <c r="A27" s="432" t="s">
        <v>646</v>
      </c>
    </row>
    <row r="28" spans="1:21" ht="156" x14ac:dyDescent="0.2">
      <c r="A28" s="496" t="s">
        <v>132</v>
      </c>
      <c r="B28" s="496" t="str">
        <f t="shared" ref="B28:O28" si="5">B15</f>
        <v>Реализация основных общеобразовательных программ дошкольного образования От 1 года до 3 лет Очная группа полного дня</v>
      </c>
      <c r="C28" s="496" t="str">
        <f t="shared" si="5"/>
        <v>Реализация основных общеобразовательных программ дошкольного образования От 3 лет до 8 лет Очная группа полного дня</v>
      </c>
      <c r="D28" s="496" t="str">
        <f t="shared" si="5"/>
        <v>Реализация основных общеобразовательных программ дошкольного образования Обучающиеся с ограниченными возможностями здоровья (ОВЗ) От 3 лет до 8 лет Очная группа полного дня</v>
      </c>
      <c r="E28" s="496" t="str">
        <f t="shared" si="5"/>
        <v>Реализация основных общеобразовательных программ дошкольного образования Обучающиеся с ограниченными возможностями здоровья (ОВЗ) От 1 года до 3 лет Очная группа полного дня</v>
      </c>
      <c r="F28" s="496" t="str">
        <f t="shared" si="5"/>
        <v>Реализация основных общеобразовательных программ дошкольного образования Адаптированная образовательная программа От 3 лет до 8 лет Очная группа полного дня</v>
      </c>
      <c r="G28" s="496" t="str">
        <f t="shared" si="5"/>
        <v>Присмотр и уход Физические лица за исключением льготных категорий От 1 года до 3 лет Группа полного дня</v>
      </c>
      <c r="H28" s="496" t="str">
        <f t="shared" si="5"/>
        <v>Присмотр и уход Физические лица льготных категорий, определяемых учредителем От 3 лет до 8 лет группа полного дня</v>
      </c>
      <c r="I28" s="496" t="str">
        <f t="shared" si="5"/>
        <v>Присмотр и уход Дети-сироты и дети, оставшиеся без попечения родителей От 1 года до 3 лет Группа полного дня</v>
      </c>
      <c r="J28" s="496" t="str">
        <f t="shared" si="5"/>
        <v>Присмотр и уход Дети-инвалиды От 1 лет до 3 лет группа полного дня</v>
      </c>
      <c r="K28" s="496" t="str">
        <f t="shared" si="5"/>
        <v>Присмотр и уход Физические лица за исключением льготных категорий От 3 лет до 8 лет Группа полного дня</v>
      </c>
      <c r="L28" s="496" t="str">
        <f t="shared" si="5"/>
        <v>Присмотр и уход Физические лица льготных категорий, определяемых учредителем От 3 года до 8 лет Группа полного дня</v>
      </c>
      <c r="M28" s="496" t="str">
        <f t="shared" si="5"/>
        <v>Присмотр и уход Дети-сироты и дети, оставшиеся без попечения родителей От 3 лет до 8 лет Группа полного дня</v>
      </c>
      <c r="N28" s="496" t="str">
        <f t="shared" si="5"/>
        <v>Присмотр и уход Дети-инвалиды От 3 лет до 8 лет группа полного дня</v>
      </c>
      <c r="O28" s="496" t="str">
        <f t="shared" si="5"/>
        <v>Присмотр и уход Дети с туберкулезной интоксикацией От 3 лет до 8 лет группа полного дня</v>
      </c>
    </row>
    <row r="29" spans="1:21" x14ac:dyDescent="0.2">
      <c r="A29" s="497" t="str">
        <f t="shared" ref="A29:A37" si="6">A16</f>
        <v>МАДОУ ЦРР-детский сад № 2</v>
      </c>
      <c r="B29" s="498">
        <f>'Результаты расчетов'!R327</f>
        <v>11270.049249999996</v>
      </c>
      <c r="C29" s="498">
        <f>'Результаты расчетов'!R337</f>
        <v>11176.066999999999</v>
      </c>
      <c r="D29" s="498">
        <f>'Результаты расчетов'!R357</f>
        <v>11176.066999999999</v>
      </c>
      <c r="E29" s="498">
        <f>'Результаты расчетов'!R347</f>
        <v>11270.049249999996</v>
      </c>
      <c r="F29" s="498">
        <f>'Результаты расчетов'!R367</f>
        <v>19368.124110999997</v>
      </c>
      <c r="G29" s="498">
        <f>'Результаты расчетов'!R377</f>
        <v>1711.5600000000013</v>
      </c>
      <c r="H29" s="498">
        <f>'Результаты расчетов'!R387</f>
        <v>1711.5600000000013</v>
      </c>
      <c r="I29" s="498">
        <f>'Результаты расчетов'!R397</f>
        <v>30857.56</v>
      </c>
      <c r="J29" s="498">
        <f>'Результаты расчетов'!R407</f>
        <v>30857.56</v>
      </c>
      <c r="K29" s="498">
        <f>'Результаты расчетов'!R417</f>
        <v>1551.0899999999965</v>
      </c>
      <c r="L29" s="498">
        <f>'Результаты расчетов'!R427</f>
        <v>18841.089999999997</v>
      </c>
      <c r="M29" s="498">
        <f>'Результаты расчетов'!R437</f>
        <v>36131.089999999997</v>
      </c>
      <c r="N29" s="498">
        <f>'Результаты расчетов'!R447</f>
        <v>36131.089999999997</v>
      </c>
      <c r="O29" s="498">
        <f>'Результаты расчетов'!R457</f>
        <v>36131.089999999997</v>
      </c>
      <c r="P29" s="500">
        <f>'Результаты расчетов'!Q107</f>
        <v>562000</v>
      </c>
      <c r="Q29" s="500">
        <f>'Результаты расчетов'!Q267</f>
        <v>562000</v>
      </c>
      <c r="R29" s="500">
        <f>'Результаты расчетов'!Q427</f>
        <v>562000</v>
      </c>
      <c r="S29" s="500" t="e">
        <f>'Результаты расчетов'!Q157</f>
        <v>#REF!</v>
      </c>
      <c r="T29" s="500" t="e">
        <f>'Результаты расчетов'!Q317</f>
        <v>#REF!</v>
      </c>
      <c r="U29" s="500" t="e">
        <f>'Результаты расчетов'!Q477</f>
        <v>#REF!</v>
      </c>
    </row>
    <row r="30" spans="1:21" x14ac:dyDescent="0.2">
      <c r="A30" s="497" t="str">
        <f t="shared" si="6"/>
        <v>МАДОУ ЦРР-детский сад № 11</v>
      </c>
      <c r="B30" s="498">
        <f>'Результаты расчетов'!R328</f>
        <v>10313.469459999998</v>
      </c>
      <c r="C30" s="498">
        <f>'Результаты расчетов'!R338</f>
        <v>10227.464239999999</v>
      </c>
      <c r="D30" s="498">
        <f>'Результаты расчетов'!R358</f>
        <v>10227.464239999999</v>
      </c>
      <c r="E30" s="498">
        <f>'Результаты расчетов'!R348</f>
        <v>10313.469459999998</v>
      </c>
      <c r="F30" s="498">
        <f>'Результаты расчетов'!R368</f>
        <v>17724.195527919997</v>
      </c>
      <c r="G30" s="498">
        <f>'Результаты расчетов'!R378</f>
        <v>1711.5600000000013</v>
      </c>
      <c r="H30" s="498">
        <f>'Результаты расчетов'!R388</f>
        <v>1711.5600000000013</v>
      </c>
      <c r="I30" s="498">
        <f>'Результаты расчетов'!R398</f>
        <v>30857.56</v>
      </c>
      <c r="J30" s="498">
        <f>'Результаты расчетов'!R408</f>
        <v>30857.56</v>
      </c>
      <c r="K30" s="498">
        <f>'Результаты расчетов'!R418</f>
        <v>1551.0899999999965</v>
      </c>
      <c r="L30" s="498">
        <f>'Результаты расчетов'!R428</f>
        <v>18841.089999999997</v>
      </c>
      <c r="M30" s="498">
        <f>'Результаты расчетов'!R438</f>
        <v>36131.089999999997</v>
      </c>
      <c r="N30" s="498">
        <f>'Результаты расчетов'!R448</f>
        <v>36131.089999999997</v>
      </c>
      <c r="O30" s="498">
        <f>'Результаты расчетов'!R458</f>
        <v>36131.089999999997</v>
      </c>
      <c r="P30" s="500">
        <f>'Результаты расчетов'!Q108</f>
        <v>686900</v>
      </c>
      <c r="Q30" s="500">
        <f>'Результаты расчетов'!Q268</f>
        <v>686900</v>
      </c>
      <c r="R30" s="500">
        <f>'Результаты расчетов'!Q428</f>
        <v>686900</v>
      </c>
      <c r="S30" s="500" t="e">
        <f>'Результаты расчетов'!Q158</f>
        <v>#REF!</v>
      </c>
      <c r="T30" s="500" t="e">
        <f>'Результаты расчетов'!Q318</f>
        <v>#REF!</v>
      </c>
      <c r="U30" s="500" t="e">
        <f>'Результаты расчетов'!Q478</f>
        <v>#REF!</v>
      </c>
    </row>
    <row r="31" spans="1:21" x14ac:dyDescent="0.2">
      <c r="A31" s="497" t="str">
        <f t="shared" si="6"/>
        <v>МАДОУ ЦРР-детский сад № 13</v>
      </c>
      <c r="B31" s="498">
        <f>'Результаты расчетов'!R329</f>
        <v>10599.343879999999</v>
      </c>
      <c r="C31" s="498">
        <f>'Результаты расчетов'!R339</f>
        <v>10510.95472</v>
      </c>
      <c r="D31" s="498">
        <f>'Результаты расчетов'!R359</f>
        <v>10510.95472</v>
      </c>
      <c r="E31" s="498">
        <f>'Результаты расчетов'!R349</f>
        <v>10599.343879999999</v>
      </c>
      <c r="F31" s="498">
        <f>'Результаты расчетов'!R369</f>
        <v>18215.48452976</v>
      </c>
      <c r="G31" s="498">
        <f>'Результаты расчетов'!R379</f>
        <v>1711.5600000000013</v>
      </c>
      <c r="H31" s="498">
        <f>'Результаты расчетов'!R389</f>
        <v>1711.5600000000013</v>
      </c>
      <c r="I31" s="498">
        <f>'Результаты расчетов'!R399</f>
        <v>30857.56</v>
      </c>
      <c r="J31" s="498">
        <f>'Результаты расчетов'!R409</f>
        <v>30857.56</v>
      </c>
      <c r="K31" s="498">
        <f>'Результаты расчетов'!R419</f>
        <v>1551.0899999999965</v>
      </c>
      <c r="L31" s="498">
        <f>'Результаты расчетов'!R429</f>
        <v>18841.089999999997</v>
      </c>
      <c r="M31" s="498">
        <f>'Результаты расчетов'!R439</f>
        <v>36131.089999999997</v>
      </c>
      <c r="N31" s="498">
        <f>'Результаты расчетов'!R449</f>
        <v>36131.089999999997</v>
      </c>
      <c r="O31" s="498">
        <f>'Результаты расчетов'!R459</f>
        <v>36131.089999999997</v>
      </c>
      <c r="P31" s="500">
        <f>'Результаты расчетов'!Q109</f>
        <v>1582100</v>
      </c>
      <c r="Q31" s="500">
        <f>'Результаты расчетов'!Q269</f>
        <v>1582100</v>
      </c>
      <c r="R31" s="500">
        <f>'Результаты расчетов'!Q429</f>
        <v>1582100</v>
      </c>
      <c r="S31" s="500" t="e">
        <f>'Результаты расчетов'!Q159</f>
        <v>#REF!</v>
      </c>
      <c r="T31" s="500" t="e">
        <f>'Результаты расчетов'!Q319</f>
        <v>#REF!</v>
      </c>
      <c r="U31" s="500" t="e">
        <f>'Результаты расчетов'!Q479</f>
        <v>#REF!</v>
      </c>
    </row>
    <row r="32" spans="1:21" ht="24" x14ac:dyDescent="0.2">
      <c r="A32" s="497" t="str">
        <f t="shared" si="6"/>
        <v>МАОУ СОШ № 1 структурное подразделение</v>
      </c>
      <c r="B32" s="498">
        <f>'Результаты расчетов'!R330</f>
        <v>9763.7109599999985</v>
      </c>
      <c r="C32" s="498">
        <f>'Результаты расчетов'!R340</f>
        <v>9682.2902400000003</v>
      </c>
      <c r="D32" s="498">
        <f>'Результаты расчетов'!R360</f>
        <v>9682.2902400000003</v>
      </c>
      <c r="E32" s="498">
        <f>'Результаты расчетов'!R350</f>
        <v>9763.7109599999985</v>
      </c>
      <c r="F32" s="498">
        <f>'Результаты расчетов'!R370</f>
        <v>16779.408985919999</v>
      </c>
      <c r="G32" s="498">
        <f>'Результаты расчетов'!R380</f>
        <v>1711.5600000000013</v>
      </c>
      <c r="H32" s="498">
        <f>'Результаты расчетов'!R390</f>
        <v>1711.5600000000013</v>
      </c>
      <c r="I32" s="498">
        <f>'Результаты расчетов'!R400</f>
        <v>30857.56</v>
      </c>
      <c r="J32" s="498">
        <f>'Результаты расчетов'!R410</f>
        <v>30857.56</v>
      </c>
      <c r="K32" s="498">
        <f>'Результаты расчетов'!R420</f>
        <v>1551.0899999999965</v>
      </c>
      <c r="L32" s="498">
        <f>'Результаты расчетов'!R430</f>
        <v>18841.089999999997</v>
      </c>
      <c r="M32" s="498">
        <f>'Результаты расчетов'!R440</f>
        <v>36131.089999999997</v>
      </c>
      <c r="N32" s="498">
        <f>'Результаты расчетов'!R450</f>
        <v>36131.089999999997</v>
      </c>
      <c r="O32" s="498">
        <f>'Результаты расчетов'!R460</f>
        <v>36131.089999999997</v>
      </c>
      <c r="P32" s="500">
        <f>'Результаты расчетов'!Q110</f>
        <v>291400</v>
      </c>
      <c r="Q32" s="500">
        <f>'Результаты расчетов'!Q270</f>
        <v>291400</v>
      </c>
      <c r="R32" s="500">
        <f>'Результаты расчетов'!Q430</f>
        <v>291400</v>
      </c>
      <c r="S32" s="500" t="e">
        <f>'Результаты расчетов'!Q160</f>
        <v>#REF!</v>
      </c>
      <c r="T32" s="500" t="e">
        <f>'Результаты расчетов'!Q320</f>
        <v>#REF!</v>
      </c>
      <c r="U32" s="500" t="e">
        <f>'Результаты расчетов'!Q480</f>
        <v>#REF!</v>
      </c>
    </row>
    <row r="33" spans="1:21" ht="24" x14ac:dyDescent="0.2">
      <c r="A33" s="497" t="str">
        <f t="shared" si="6"/>
        <v>МАОУ СОШ № 2 им.М.И.Грибушина структурное подразделение</v>
      </c>
      <c r="B33" s="498">
        <f>'Результаты расчетов'!R331</f>
        <v>11127.112039999998</v>
      </c>
      <c r="C33" s="498">
        <f>'Результаты расчетов'!R341</f>
        <v>11034.321759999999</v>
      </c>
      <c r="D33" s="498">
        <f>'Результаты расчетов'!R361</f>
        <v>11034.321759999999</v>
      </c>
      <c r="E33" s="498">
        <f>'Результаты расчетов'!R351</f>
        <v>11127.112039999998</v>
      </c>
      <c r="F33" s="498">
        <f>'Результаты расчетов'!R371</f>
        <v>19122.479610080001</v>
      </c>
      <c r="G33" s="498">
        <f>'Результаты расчетов'!R381</f>
        <v>1711.5600000000013</v>
      </c>
      <c r="H33" s="498">
        <f>'Результаты расчетов'!R391</f>
        <v>1711.5600000000013</v>
      </c>
      <c r="I33" s="498">
        <f>'Результаты расчетов'!R401</f>
        <v>30857.56</v>
      </c>
      <c r="J33" s="498">
        <f>'Результаты расчетов'!R411</f>
        <v>30857.56</v>
      </c>
      <c r="K33" s="498">
        <f>'Результаты расчетов'!R421</f>
        <v>1551.0899999999965</v>
      </c>
      <c r="L33" s="498">
        <f>'Результаты расчетов'!R431</f>
        <v>18841.089999999997</v>
      </c>
      <c r="M33" s="498">
        <f>'Результаты расчетов'!R441</f>
        <v>36131.089999999997</v>
      </c>
      <c r="N33" s="498">
        <f>'Результаты расчетов'!R451</f>
        <v>36131.089999999997</v>
      </c>
      <c r="O33" s="498">
        <f>'Результаты расчетов'!R461</f>
        <v>36131.089999999997</v>
      </c>
      <c r="P33" s="500">
        <f>'Результаты расчетов'!Q111</f>
        <v>249800</v>
      </c>
      <c r="Q33" s="500">
        <f>'Результаты расчетов'!Q271</f>
        <v>249800</v>
      </c>
      <c r="R33" s="500">
        <f>'Результаты расчетов'!Q431</f>
        <v>249800</v>
      </c>
      <c r="S33" s="500" t="e">
        <f>'Результаты расчетов'!Q161</f>
        <v>#REF!</v>
      </c>
      <c r="T33" s="500" t="e">
        <f>'Результаты расчетов'!Q321</f>
        <v>#REF!</v>
      </c>
      <c r="U33" s="500" t="e">
        <f>'Результаты расчетов'!Q481</f>
        <v>#REF!</v>
      </c>
    </row>
    <row r="34" spans="1:21" ht="24" x14ac:dyDescent="0.2">
      <c r="A34" s="497" t="str">
        <f t="shared" si="6"/>
        <v>МАОУ СОШ № 10 структурное подразделение</v>
      </c>
      <c r="B34" s="498">
        <f>'Результаты расчетов'!R332</f>
        <v>9114.9959299999973</v>
      </c>
      <c r="C34" s="498">
        <f>'Результаты расчетов'!R342</f>
        <v>9038.984919999999</v>
      </c>
      <c r="D34" s="498">
        <f>'Результаты расчетов'!R362</f>
        <v>9038.984919999999</v>
      </c>
      <c r="E34" s="498">
        <f>'Результаты расчетов'!R352</f>
        <v>9114.9959299999973</v>
      </c>
      <c r="F34" s="498">
        <f>'Результаты расчетов'!R372</f>
        <v>15664.56086636</v>
      </c>
      <c r="G34" s="498">
        <f>'Результаты расчетов'!R382</f>
        <v>1711.5600000000013</v>
      </c>
      <c r="H34" s="498">
        <f>'Результаты расчетов'!R392</f>
        <v>1711.5600000000013</v>
      </c>
      <c r="I34" s="498">
        <f>'Результаты расчетов'!R402</f>
        <v>30857.56</v>
      </c>
      <c r="J34" s="498">
        <f>'Результаты расчетов'!R412</f>
        <v>30857.56</v>
      </c>
      <c r="K34" s="498">
        <f>'Результаты расчетов'!R422</f>
        <v>1551.0899999999965</v>
      </c>
      <c r="L34" s="498">
        <f>'Результаты расчетов'!R432</f>
        <v>18841.089999999997</v>
      </c>
      <c r="M34" s="498">
        <f>'Результаты расчетов'!R442</f>
        <v>36131.089999999997</v>
      </c>
      <c r="N34" s="498">
        <f>'Результаты расчетов'!R452</f>
        <v>36131.089999999997</v>
      </c>
      <c r="O34" s="498">
        <f>'Результаты расчетов'!R462</f>
        <v>36131.089999999997</v>
      </c>
      <c r="P34" s="500">
        <f>'Результаты расчетов'!Q112</f>
        <v>166500</v>
      </c>
      <c r="Q34" s="500">
        <f>'Результаты расчетов'!Q272</f>
        <v>166500</v>
      </c>
      <c r="R34" s="500">
        <f>'Результаты расчетов'!Q432</f>
        <v>166500</v>
      </c>
      <c r="S34" s="500" t="e">
        <f>'Результаты расчетов'!Q162</f>
        <v>#REF!</v>
      </c>
      <c r="T34" s="500" t="e">
        <f>'Результаты расчетов'!Q322</f>
        <v>#REF!</v>
      </c>
      <c r="U34" s="500" t="e">
        <f>'Результаты расчетов'!Q482</f>
        <v>#REF!</v>
      </c>
    </row>
    <row r="35" spans="1:21" ht="24" x14ac:dyDescent="0.2">
      <c r="A35" s="497" t="str">
        <f t="shared" si="6"/>
        <v>МАОУ СОШ № 13 структурное подразделение</v>
      </c>
      <c r="B35" s="498">
        <f>'Результаты расчетов'!R333</f>
        <v>14117.798279999997</v>
      </c>
      <c r="C35" s="498">
        <f>'Результаты расчетов'!R343</f>
        <v>14000.06832</v>
      </c>
      <c r="D35" s="498">
        <f>'Результаты расчетов'!R363</f>
        <v>14000.06832</v>
      </c>
      <c r="E35" s="498">
        <f>'Результаты расчетов'!R353</f>
        <v>14117.798279999997</v>
      </c>
      <c r="F35" s="498">
        <f>'Результаты расчетов'!R373</f>
        <v>24262.11839856</v>
      </c>
      <c r="G35" s="498">
        <f>'Результаты расчетов'!R383</f>
        <v>1711.5600000000013</v>
      </c>
      <c r="H35" s="498">
        <f>'Результаты расчетов'!R393</f>
        <v>1711.5600000000013</v>
      </c>
      <c r="I35" s="498">
        <f>'Результаты расчетов'!R403</f>
        <v>30857.56</v>
      </c>
      <c r="J35" s="498">
        <f>'Результаты расчетов'!R413</f>
        <v>30857.56</v>
      </c>
      <c r="K35" s="498">
        <f>'Результаты расчетов'!R423</f>
        <v>1551.0899999999965</v>
      </c>
      <c r="L35" s="498">
        <f>'Результаты расчетов'!R433</f>
        <v>18841.089999999997</v>
      </c>
      <c r="M35" s="498">
        <f>'Результаты расчетов'!R443</f>
        <v>36131.089999999997</v>
      </c>
      <c r="N35" s="498">
        <f>'Результаты расчетов'!R453</f>
        <v>36131.089999999997</v>
      </c>
      <c r="O35" s="498">
        <f>'Результаты расчетов'!R463</f>
        <v>36131.089999999997</v>
      </c>
      <c r="P35" s="500">
        <f>'Результаты расчетов'!Q113</f>
        <v>104100</v>
      </c>
      <c r="Q35" s="500">
        <f>'Результаты расчетов'!Q273</f>
        <v>104100</v>
      </c>
      <c r="R35" s="500">
        <f>'Результаты расчетов'!Q433</f>
        <v>104100</v>
      </c>
      <c r="S35" s="500" t="e">
        <f>'Результаты расчетов'!Q163</f>
        <v>#REF!</v>
      </c>
      <c r="T35" s="500" t="e">
        <f>'Результаты расчетов'!Q323</f>
        <v>#REF!</v>
      </c>
      <c r="U35" s="500" t="e">
        <f>'Результаты расчетов'!Q483</f>
        <v>#REF!</v>
      </c>
    </row>
    <row r="36" spans="1:21" ht="24" x14ac:dyDescent="0.2">
      <c r="A36" s="497" t="str">
        <f t="shared" si="6"/>
        <v>Гимназия № 16 структурное подразделение</v>
      </c>
      <c r="B36" s="498">
        <f>'Результаты расчетов'!R334</f>
        <v>13513.063929999998</v>
      </c>
      <c r="C36" s="498">
        <f>'Результаты расчетов'!R344</f>
        <v>13400.376920000001</v>
      </c>
      <c r="D36" s="498">
        <f>'Результаты расчетов'!R364</f>
        <v>13400.376920000001</v>
      </c>
      <c r="E36" s="498">
        <f>'Результаты расчетов'!R354</f>
        <v>13513.063929999998</v>
      </c>
      <c r="F36" s="498">
        <f>'Результаты расчетов'!R374</f>
        <v>23222.853202360002</v>
      </c>
      <c r="G36" s="498">
        <f>'Результаты расчетов'!R384</f>
        <v>1711.5600000000013</v>
      </c>
      <c r="H36" s="498">
        <f>'Результаты расчетов'!R394</f>
        <v>1711.5600000000013</v>
      </c>
      <c r="I36" s="498">
        <f>'Результаты расчетов'!R404</f>
        <v>30857.56</v>
      </c>
      <c r="J36" s="498">
        <f>'Результаты расчетов'!R414</f>
        <v>30857.56</v>
      </c>
      <c r="K36" s="498">
        <f>'Результаты расчетов'!R424</f>
        <v>1551.0899999999965</v>
      </c>
      <c r="L36" s="498">
        <f>'Результаты расчетов'!R434</f>
        <v>18841.089999999997</v>
      </c>
      <c r="M36" s="498">
        <f>'Результаты расчетов'!R444</f>
        <v>36131.089999999997</v>
      </c>
      <c r="N36" s="498">
        <f>'Результаты расчетов'!R454</f>
        <v>36131.089999999997</v>
      </c>
      <c r="O36" s="498">
        <f>'Результаты расчетов'!R464</f>
        <v>36131.089999999997</v>
      </c>
      <c r="P36" s="500">
        <f>'Результаты расчетов'!Q114</f>
        <v>208200</v>
      </c>
      <c r="Q36" s="500">
        <f>'Результаты расчетов'!Q274</f>
        <v>208200</v>
      </c>
      <c r="R36" s="500">
        <f>'Результаты расчетов'!Q434</f>
        <v>208200</v>
      </c>
      <c r="S36" s="500" t="e">
        <f>'Результаты расчетов'!Q164</f>
        <v>#REF!</v>
      </c>
      <c r="T36" s="500" t="e">
        <f>'Результаты расчетов'!Q324</f>
        <v>#REF!</v>
      </c>
      <c r="U36" s="500" t="e">
        <f>'Результаты расчетов'!Q484</f>
        <v>#REF!</v>
      </c>
    </row>
    <row r="37" spans="1:21" ht="24" x14ac:dyDescent="0.2">
      <c r="A37" s="497" t="str">
        <f t="shared" si="6"/>
        <v>МАОУ ООШ № 17 с кадетскими классами структурное подразделение</v>
      </c>
      <c r="B37" s="498">
        <f>'Результаты расчетов'!R335</f>
        <v>27960.717309999996</v>
      </c>
      <c r="C37" s="498">
        <f>'Результаты расчетов'!R345</f>
        <v>27727.549640000001</v>
      </c>
      <c r="D37" s="498">
        <f>'Результаты расчетов'!R365</f>
        <v>27727.549640000001</v>
      </c>
      <c r="E37" s="498">
        <f>'Результаты расчетов'!R355</f>
        <v>27960.717309999996</v>
      </c>
      <c r="F37" s="498">
        <f>'Результаты расчетов'!R375</f>
        <v>48051.843526120007</v>
      </c>
      <c r="G37" s="498">
        <f>'Результаты расчетов'!R385</f>
        <v>1711.5600000000013</v>
      </c>
      <c r="H37" s="498">
        <f>'Результаты расчетов'!R395</f>
        <v>1711.5600000000013</v>
      </c>
      <c r="I37" s="498">
        <f>'Результаты расчетов'!R405</f>
        <v>30857.56</v>
      </c>
      <c r="J37" s="498">
        <f>'Результаты расчетов'!R415</f>
        <v>30857.56</v>
      </c>
      <c r="K37" s="498">
        <f>'Результаты расчетов'!R425</f>
        <v>1551.0899999999965</v>
      </c>
      <c r="L37" s="498">
        <f>'Результаты расчетов'!R435</f>
        <v>18841.089999999997</v>
      </c>
      <c r="M37" s="498">
        <f>'Результаты расчетов'!R445</f>
        <v>36131.089999999997</v>
      </c>
      <c r="N37" s="498">
        <f>'Результаты расчетов'!R455</f>
        <v>36131.089999999997</v>
      </c>
      <c r="O37" s="498">
        <f>'Результаты расчетов'!R465</f>
        <v>36131.089999999997</v>
      </c>
      <c r="P37" s="500">
        <f>'Результаты расчетов'!Q115</f>
        <v>20800</v>
      </c>
      <c r="Q37" s="500">
        <f>'Результаты расчетов'!Q275</f>
        <v>20800</v>
      </c>
      <c r="R37" s="500">
        <f>'Результаты расчетов'!Q435</f>
        <v>20800</v>
      </c>
      <c r="S37" s="500" t="e">
        <f>'Результаты расчетов'!Q165</f>
        <v>#REF!</v>
      </c>
      <c r="T37" s="500" t="e">
        <f>'Результаты расчетов'!Q325</f>
        <v>#REF!</v>
      </c>
      <c r="U37" s="500" t="e">
        <f>'Результаты расчетов'!Q485</f>
        <v>#REF!</v>
      </c>
    </row>
    <row r="38" spans="1:21" x14ac:dyDescent="0.2">
      <c r="P38" s="803">
        <f>SUM('Результаты расчетов'!R326:R475)-SUM(B29:O37)</f>
        <v>0</v>
      </c>
    </row>
  </sheetData>
  <pageMargins left="0.23622047244094491" right="0.23622047244094491" top="0.74803149606299213" bottom="0.74803149606299213" header="0.31496062992125984" footer="0.31496062992125984"/>
  <pageSetup paperSize="9" scale="51" orientation="portrait" r:id="rId1"/>
  <rowBreaks count="2" manualBreakCount="2">
    <brk id="13" max="16383" man="1"/>
    <brk id="26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pageSetUpPr fitToPage="1"/>
  </sheetPr>
  <dimension ref="A1:R26"/>
  <sheetViews>
    <sheetView zoomScale="110" zoomScaleNormal="110" workbookViewId="0">
      <selection activeCell="I22" sqref="I22"/>
    </sheetView>
  </sheetViews>
  <sheetFormatPr defaultRowHeight="12.75" x14ac:dyDescent="0.2"/>
  <cols>
    <col min="1" max="1" width="42.85546875" style="14" customWidth="1"/>
    <col min="2" max="2" width="12.7109375" style="14" customWidth="1"/>
    <col min="3" max="6" width="12.28515625" style="14" customWidth="1"/>
    <col min="7" max="7" width="12.42578125" style="14" customWidth="1"/>
    <col min="8" max="8" width="12.5703125" style="14" customWidth="1"/>
    <col min="9" max="9" width="13.5703125" style="14" customWidth="1"/>
    <col min="10" max="12" width="11.85546875" style="14" bestFit="1" customWidth="1"/>
    <col min="13" max="13" width="9.140625" style="14" customWidth="1"/>
    <col min="14" max="14" width="9.7109375" style="14" customWidth="1"/>
    <col min="15" max="15" width="12.85546875" style="14" customWidth="1"/>
    <col min="16" max="16" width="16.140625" style="14" customWidth="1"/>
    <col min="17" max="17" width="16.85546875" style="14" customWidth="1"/>
    <col min="18" max="18" width="16.28515625" style="14" customWidth="1"/>
    <col min="19" max="241" width="9.140625" style="14"/>
    <col min="242" max="242" width="20.7109375" style="14" customWidth="1"/>
    <col min="243" max="243" width="16.42578125" style="14" customWidth="1"/>
    <col min="244" max="244" width="13.28515625" style="14" customWidth="1"/>
    <col min="245" max="246" width="13.140625" style="14" customWidth="1"/>
    <col min="247" max="250" width="12.28515625" style="14" customWidth="1"/>
    <col min="251" max="251" width="18.7109375" style="14" customWidth="1"/>
    <col min="252" max="256" width="18" style="14" customWidth="1"/>
    <col min="257" max="257" width="15.7109375" style="14" customWidth="1"/>
    <col min="258" max="258" width="14.85546875" style="14" customWidth="1"/>
    <col min="259" max="261" width="15.28515625" style="14" customWidth="1"/>
    <col min="262" max="262" width="17.42578125" style="14" customWidth="1"/>
    <col min="263" max="263" width="14.7109375" style="14" customWidth="1"/>
    <col min="264" max="265" width="15.28515625" style="14" customWidth="1"/>
    <col min="266" max="266" width="17.42578125" style="14" customWidth="1"/>
    <col min="267" max="269" width="15.28515625" style="14" customWidth="1"/>
    <col min="270" max="270" width="17.42578125" style="14" customWidth="1"/>
    <col min="271" max="497" width="9.140625" style="14"/>
    <col min="498" max="498" width="20.7109375" style="14" customWidth="1"/>
    <col min="499" max="499" width="16.42578125" style="14" customWidth="1"/>
    <col min="500" max="500" width="13.28515625" style="14" customWidth="1"/>
    <col min="501" max="502" width="13.140625" style="14" customWidth="1"/>
    <col min="503" max="506" width="12.28515625" style="14" customWidth="1"/>
    <col min="507" max="507" width="18.7109375" style="14" customWidth="1"/>
    <col min="508" max="512" width="18" style="14" customWidth="1"/>
    <col min="513" max="513" width="15.7109375" style="14" customWidth="1"/>
    <col min="514" max="514" width="14.85546875" style="14" customWidth="1"/>
    <col min="515" max="517" width="15.28515625" style="14" customWidth="1"/>
    <col min="518" max="518" width="17.42578125" style="14" customWidth="1"/>
    <col min="519" max="519" width="14.7109375" style="14" customWidth="1"/>
    <col min="520" max="521" width="15.28515625" style="14" customWidth="1"/>
    <col min="522" max="522" width="17.42578125" style="14" customWidth="1"/>
    <col min="523" max="525" width="15.28515625" style="14" customWidth="1"/>
    <col min="526" max="526" width="17.42578125" style="14" customWidth="1"/>
    <col min="527" max="753" width="9.140625" style="14"/>
    <col min="754" max="754" width="20.7109375" style="14" customWidth="1"/>
    <col min="755" max="755" width="16.42578125" style="14" customWidth="1"/>
    <col min="756" max="756" width="13.28515625" style="14" customWidth="1"/>
    <col min="757" max="758" width="13.140625" style="14" customWidth="1"/>
    <col min="759" max="762" width="12.28515625" style="14" customWidth="1"/>
    <col min="763" max="763" width="18.7109375" style="14" customWidth="1"/>
    <col min="764" max="768" width="18" style="14" customWidth="1"/>
    <col min="769" max="769" width="15.7109375" style="14" customWidth="1"/>
    <col min="770" max="770" width="14.85546875" style="14" customWidth="1"/>
    <col min="771" max="773" width="15.28515625" style="14" customWidth="1"/>
    <col min="774" max="774" width="17.42578125" style="14" customWidth="1"/>
    <col min="775" max="775" width="14.7109375" style="14" customWidth="1"/>
    <col min="776" max="777" width="15.28515625" style="14" customWidth="1"/>
    <col min="778" max="778" width="17.42578125" style="14" customWidth="1"/>
    <col min="779" max="781" width="15.28515625" style="14" customWidth="1"/>
    <col min="782" max="782" width="17.42578125" style="14" customWidth="1"/>
    <col min="783" max="1009" width="9.140625" style="14"/>
    <col min="1010" max="1010" width="20.7109375" style="14" customWidth="1"/>
    <col min="1011" max="1011" width="16.42578125" style="14" customWidth="1"/>
    <col min="1012" max="1012" width="13.28515625" style="14" customWidth="1"/>
    <col min="1013" max="1014" width="13.140625" style="14" customWidth="1"/>
    <col min="1015" max="1018" width="12.28515625" style="14" customWidth="1"/>
    <col min="1019" max="1019" width="18.7109375" style="14" customWidth="1"/>
    <col min="1020" max="1024" width="18" style="14" customWidth="1"/>
    <col min="1025" max="1025" width="15.7109375" style="14" customWidth="1"/>
    <col min="1026" max="1026" width="14.85546875" style="14" customWidth="1"/>
    <col min="1027" max="1029" width="15.28515625" style="14" customWidth="1"/>
    <col min="1030" max="1030" width="17.42578125" style="14" customWidth="1"/>
    <col min="1031" max="1031" width="14.7109375" style="14" customWidth="1"/>
    <col min="1032" max="1033" width="15.28515625" style="14" customWidth="1"/>
    <col min="1034" max="1034" width="17.42578125" style="14" customWidth="1"/>
    <col min="1035" max="1037" width="15.28515625" style="14" customWidth="1"/>
    <col min="1038" max="1038" width="17.42578125" style="14" customWidth="1"/>
    <col min="1039" max="1265" width="9.140625" style="14"/>
    <col min="1266" max="1266" width="20.7109375" style="14" customWidth="1"/>
    <col min="1267" max="1267" width="16.42578125" style="14" customWidth="1"/>
    <col min="1268" max="1268" width="13.28515625" style="14" customWidth="1"/>
    <col min="1269" max="1270" width="13.140625" style="14" customWidth="1"/>
    <col min="1271" max="1274" width="12.28515625" style="14" customWidth="1"/>
    <col min="1275" max="1275" width="18.7109375" style="14" customWidth="1"/>
    <col min="1276" max="1280" width="18" style="14" customWidth="1"/>
    <col min="1281" max="1281" width="15.7109375" style="14" customWidth="1"/>
    <col min="1282" max="1282" width="14.85546875" style="14" customWidth="1"/>
    <col min="1283" max="1285" width="15.28515625" style="14" customWidth="1"/>
    <col min="1286" max="1286" width="17.42578125" style="14" customWidth="1"/>
    <col min="1287" max="1287" width="14.7109375" style="14" customWidth="1"/>
    <col min="1288" max="1289" width="15.28515625" style="14" customWidth="1"/>
    <col min="1290" max="1290" width="17.42578125" style="14" customWidth="1"/>
    <col min="1291" max="1293" width="15.28515625" style="14" customWidth="1"/>
    <col min="1294" max="1294" width="17.42578125" style="14" customWidth="1"/>
    <col min="1295" max="1521" width="9.140625" style="14"/>
    <col min="1522" max="1522" width="20.7109375" style="14" customWidth="1"/>
    <col min="1523" max="1523" width="16.42578125" style="14" customWidth="1"/>
    <col min="1524" max="1524" width="13.28515625" style="14" customWidth="1"/>
    <col min="1525" max="1526" width="13.140625" style="14" customWidth="1"/>
    <col min="1527" max="1530" width="12.28515625" style="14" customWidth="1"/>
    <col min="1531" max="1531" width="18.7109375" style="14" customWidth="1"/>
    <col min="1532" max="1536" width="18" style="14" customWidth="1"/>
    <col min="1537" max="1537" width="15.7109375" style="14" customWidth="1"/>
    <col min="1538" max="1538" width="14.85546875" style="14" customWidth="1"/>
    <col min="1539" max="1541" width="15.28515625" style="14" customWidth="1"/>
    <col min="1542" max="1542" width="17.42578125" style="14" customWidth="1"/>
    <col min="1543" max="1543" width="14.7109375" style="14" customWidth="1"/>
    <col min="1544" max="1545" width="15.28515625" style="14" customWidth="1"/>
    <col min="1546" max="1546" width="17.42578125" style="14" customWidth="1"/>
    <col min="1547" max="1549" width="15.28515625" style="14" customWidth="1"/>
    <col min="1550" max="1550" width="17.42578125" style="14" customWidth="1"/>
    <col min="1551" max="1777" width="9.140625" style="14"/>
    <col min="1778" max="1778" width="20.7109375" style="14" customWidth="1"/>
    <col min="1779" max="1779" width="16.42578125" style="14" customWidth="1"/>
    <col min="1780" max="1780" width="13.28515625" style="14" customWidth="1"/>
    <col min="1781" max="1782" width="13.140625" style="14" customWidth="1"/>
    <col min="1783" max="1786" width="12.28515625" style="14" customWidth="1"/>
    <col min="1787" max="1787" width="18.7109375" style="14" customWidth="1"/>
    <col min="1788" max="1792" width="18" style="14" customWidth="1"/>
    <col min="1793" max="1793" width="15.7109375" style="14" customWidth="1"/>
    <col min="1794" max="1794" width="14.85546875" style="14" customWidth="1"/>
    <col min="1795" max="1797" width="15.28515625" style="14" customWidth="1"/>
    <col min="1798" max="1798" width="17.42578125" style="14" customWidth="1"/>
    <col min="1799" max="1799" width="14.7109375" style="14" customWidth="1"/>
    <col min="1800" max="1801" width="15.28515625" style="14" customWidth="1"/>
    <col min="1802" max="1802" width="17.42578125" style="14" customWidth="1"/>
    <col min="1803" max="1805" width="15.28515625" style="14" customWidth="1"/>
    <col min="1806" max="1806" width="17.42578125" style="14" customWidth="1"/>
    <col min="1807" max="2033" width="9.140625" style="14"/>
    <col min="2034" max="2034" width="20.7109375" style="14" customWidth="1"/>
    <col min="2035" max="2035" width="16.42578125" style="14" customWidth="1"/>
    <col min="2036" max="2036" width="13.28515625" style="14" customWidth="1"/>
    <col min="2037" max="2038" width="13.140625" style="14" customWidth="1"/>
    <col min="2039" max="2042" width="12.28515625" style="14" customWidth="1"/>
    <col min="2043" max="2043" width="18.7109375" style="14" customWidth="1"/>
    <col min="2044" max="2048" width="18" style="14" customWidth="1"/>
    <col min="2049" max="2049" width="15.7109375" style="14" customWidth="1"/>
    <col min="2050" max="2050" width="14.85546875" style="14" customWidth="1"/>
    <col min="2051" max="2053" width="15.28515625" style="14" customWidth="1"/>
    <col min="2054" max="2054" width="17.42578125" style="14" customWidth="1"/>
    <col min="2055" max="2055" width="14.7109375" style="14" customWidth="1"/>
    <col min="2056" max="2057" width="15.28515625" style="14" customWidth="1"/>
    <col min="2058" max="2058" width="17.42578125" style="14" customWidth="1"/>
    <col min="2059" max="2061" width="15.28515625" style="14" customWidth="1"/>
    <col min="2062" max="2062" width="17.42578125" style="14" customWidth="1"/>
    <col min="2063" max="2289" width="9.140625" style="14"/>
    <col min="2290" max="2290" width="20.7109375" style="14" customWidth="1"/>
    <col min="2291" max="2291" width="16.42578125" style="14" customWidth="1"/>
    <col min="2292" max="2292" width="13.28515625" style="14" customWidth="1"/>
    <col min="2293" max="2294" width="13.140625" style="14" customWidth="1"/>
    <col min="2295" max="2298" width="12.28515625" style="14" customWidth="1"/>
    <col min="2299" max="2299" width="18.7109375" style="14" customWidth="1"/>
    <col min="2300" max="2304" width="18" style="14" customWidth="1"/>
    <col min="2305" max="2305" width="15.7109375" style="14" customWidth="1"/>
    <col min="2306" max="2306" width="14.85546875" style="14" customWidth="1"/>
    <col min="2307" max="2309" width="15.28515625" style="14" customWidth="1"/>
    <col min="2310" max="2310" width="17.42578125" style="14" customWidth="1"/>
    <col min="2311" max="2311" width="14.7109375" style="14" customWidth="1"/>
    <col min="2312" max="2313" width="15.28515625" style="14" customWidth="1"/>
    <col min="2314" max="2314" width="17.42578125" style="14" customWidth="1"/>
    <col min="2315" max="2317" width="15.28515625" style="14" customWidth="1"/>
    <col min="2318" max="2318" width="17.42578125" style="14" customWidth="1"/>
    <col min="2319" max="2545" width="9.140625" style="14"/>
    <col min="2546" max="2546" width="20.7109375" style="14" customWidth="1"/>
    <col min="2547" max="2547" width="16.42578125" style="14" customWidth="1"/>
    <col min="2548" max="2548" width="13.28515625" style="14" customWidth="1"/>
    <col min="2549" max="2550" width="13.140625" style="14" customWidth="1"/>
    <col min="2551" max="2554" width="12.28515625" style="14" customWidth="1"/>
    <col min="2555" max="2555" width="18.7109375" style="14" customWidth="1"/>
    <col min="2556" max="2560" width="18" style="14" customWidth="1"/>
    <col min="2561" max="2561" width="15.7109375" style="14" customWidth="1"/>
    <col min="2562" max="2562" width="14.85546875" style="14" customWidth="1"/>
    <col min="2563" max="2565" width="15.28515625" style="14" customWidth="1"/>
    <col min="2566" max="2566" width="17.42578125" style="14" customWidth="1"/>
    <col min="2567" max="2567" width="14.7109375" style="14" customWidth="1"/>
    <col min="2568" max="2569" width="15.28515625" style="14" customWidth="1"/>
    <col min="2570" max="2570" width="17.42578125" style="14" customWidth="1"/>
    <col min="2571" max="2573" width="15.28515625" style="14" customWidth="1"/>
    <col min="2574" max="2574" width="17.42578125" style="14" customWidth="1"/>
    <col min="2575" max="2801" width="9.140625" style="14"/>
    <col min="2802" max="2802" width="20.7109375" style="14" customWidth="1"/>
    <col min="2803" max="2803" width="16.42578125" style="14" customWidth="1"/>
    <col min="2804" max="2804" width="13.28515625" style="14" customWidth="1"/>
    <col min="2805" max="2806" width="13.140625" style="14" customWidth="1"/>
    <col min="2807" max="2810" width="12.28515625" style="14" customWidth="1"/>
    <col min="2811" max="2811" width="18.7109375" style="14" customWidth="1"/>
    <col min="2812" max="2816" width="18" style="14" customWidth="1"/>
    <col min="2817" max="2817" width="15.7109375" style="14" customWidth="1"/>
    <col min="2818" max="2818" width="14.85546875" style="14" customWidth="1"/>
    <col min="2819" max="2821" width="15.28515625" style="14" customWidth="1"/>
    <col min="2822" max="2822" width="17.42578125" style="14" customWidth="1"/>
    <col min="2823" max="2823" width="14.7109375" style="14" customWidth="1"/>
    <col min="2824" max="2825" width="15.28515625" style="14" customWidth="1"/>
    <col min="2826" max="2826" width="17.42578125" style="14" customWidth="1"/>
    <col min="2827" max="2829" width="15.28515625" style="14" customWidth="1"/>
    <col min="2830" max="2830" width="17.42578125" style="14" customWidth="1"/>
    <col min="2831" max="3057" width="9.140625" style="14"/>
    <col min="3058" max="3058" width="20.7109375" style="14" customWidth="1"/>
    <col min="3059" max="3059" width="16.42578125" style="14" customWidth="1"/>
    <col min="3060" max="3060" width="13.28515625" style="14" customWidth="1"/>
    <col min="3061" max="3062" width="13.140625" style="14" customWidth="1"/>
    <col min="3063" max="3066" width="12.28515625" style="14" customWidth="1"/>
    <col min="3067" max="3067" width="18.7109375" style="14" customWidth="1"/>
    <col min="3068" max="3072" width="18" style="14" customWidth="1"/>
    <col min="3073" max="3073" width="15.7109375" style="14" customWidth="1"/>
    <col min="3074" max="3074" width="14.85546875" style="14" customWidth="1"/>
    <col min="3075" max="3077" width="15.28515625" style="14" customWidth="1"/>
    <col min="3078" max="3078" width="17.42578125" style="14" customWidth="1"/>
    <col min="3079" max="3079" width="14.7109375" style="14" customWidth="1"/>
    <col min="3080" max="3081" width="15.28515625" style="14" customWidth="1"/>
    <col min="3082" max="3082" width="17.42578125" style="14" customWidth="1"/>
    <col min="3083" max="3085" width="15.28515625" style="14" customWidth="1"/>
    <col min="3086" max="3086" width="17.42578125" style="14" customWidth="1"/>
    <col min="3087" max="3313" width="9.140625" style="14"/>
    <col min="3314" max="3314" width="20.7109375" style="14" customWidth="1"/>
    <col min="3315" max="3315" width="16.42578125" style="14" customWidth="1"/>
    <col min="3316" max="3316" width="13.28515625" style="14" customWidth="1"/>
    <col min="3317" max="3318" width="13.140625" style="14" customWidth="1"/>
    <col min="3319" max="3322" width="12.28515625" style="14" customWidth="1"/>
    <col min="3323" max="3323" width="18.7109375" style="14" customWidth="1"/>
    <col min="3324" max="3328" width="18" style="14" customWidth="1"/>
    <col min="3329" max="3329" width="15.7109375" style="14" customWidth="1"/>
    <col min="3330" max="3330" width="14.85546875" style="14" customWidth="1"/>
    <col min="3331" max="3333" width="15.28515625" style="14" customWidth="1"/>
    <col min="3334" max="3334" width="17.42578125" style="14" customWidth="1"/>
    <col min="3335" max="3335" width="14.7109375" style="14" customWidth="1"/>
    <col min="3336" max="3337" width="15.28515625" style="14" customWidth="1"/>
    <col min="3338" max="3338" width="17.42578125" style="14" customWidth="1"/>
    <col min="3339" max="3341" width="15.28515625" style="14" customWidth="1"/>
    <col min="3342" max="3342" width="17.42578125" style="14" customWidth="1"/>
    <col min="3343" max="3569" width="9.140625" style="14"/>
    <col min="3570" max="3570" width="20.7109375" style="14" customWidth="1"/>
    <col min="3571" max="3571" width="16.42578125" style="14" customWidth="1"/>
    <col min="3572" max="3572" width="13.28515625" style="14" customWidth="1"/>
    <col min="3573" max="3574" width="13.140625" style="14" customWidth="1"/>
    <col min="3575" max="3578" width="12.28515625" style="14" customWidth="1"/>
    <col min="3579" max="3579" width="18.7109375" style="14" customWidth="1"/>
    <col min="3580" max="3584" width="18" style="14" customWidth="1"/>
    <col min="3585" max="3585" width="15.7109375" style="14" customWidth="1"/>
    <col min="3586" max="3586" width="14.85546875" style="14" customWidth="1"/>
    <col min="3587" max="3589" width="15.28515625" style="14" customWidth="1"/>
    <col min="3590" max="3590" width="17.42578125" style="14" customWidth="1"/>
    <col min="3591" max="3591" width="14.7109375" style="14" customWidth="1"/>
    <col min="3592" max="3593" width="15.28515625" style="14" customWidth="1"/>
    <col min="3594" max="3594" width="17.42578125" style="14" customWidth="1"/>
    <col min="3595" max="3597" width="15.28515625" style="14" customWidth="1"/>
    <col min="3598" max="3598" width="17.42578125" style="14" customWidth="1"/>
    <col min="3599" max="3825" width="9.140625" style="14"/>
    <col min="3826" max="3826" width="20.7109375" style="14" customWidth="1"/>
    <col min="3827" max="3827" width="16.42578125" style="14" customWidth="1"/>
    <col min="3828" max="3828" width="13.28515625" style="14" customWidth="1"/>
    <col min="3829" max="3830" width="13.140625" style="14" customWidth="1"/>
    <col min="3831" max="3834" width="12.28515625" style="14" customWidth="1"/>
    <col min="3835" max="3835" width="18.7109375" style="14" customWidth="1"/>
    <col min="3836" max="3840" width="18" style="14" customWidth="1"/>
    <col min="3841" max="3841" width="15.7109375" style="14" customWidth="1"/>
    <col min="3842" max="3842" width="14.85546875" style="14" customWidth="1"/>
    <col min="3843" max="3845" width="15.28515625" style="14" customWidth="1"/>
    <col min="3846" max="3846" width="17.42578125" style="14" customWidth="1"/>
    <col min="3847" max="3847" width="14.7109375" style="14" customWidth="1"/>
    <col min="3848" max="3849" width="15.28515625" style="14" customWidth="1"/>
    <col min="3850" max="3850" width="17.42578125" style="14" customWidth="1"/>
    <col min="3851" max="3853" width="15.28515625" style="14" customWidth="1"/>
    <col min="3854" max="3854" width="17.42578125" style="14" customWidth="1"/>
    <col min="3855" max="4081" width="9.140625" style="14"/>
    <col min="4082" max="4082" width="20.7109375" style="14" customWidth="1"/>
    <col min="4083" max="4083" width="16.42578125" style="14" customWidth="1"/>
    <col min="4084" max="4084" width="13.28515625" style="14" customWidth="1"/>
    <col min="4085" max="4086" width="13.140625" style="14" customWidth="1"/>
    <col min="4087" max="4090" width="12.28515625" style="14" customWidth="1"/>
    <col min="4091" max="4091" width="18.7109375" style="14" customWidth="1"/>
    <col min="4092" max="4096" width="18" style="14" customWidth="1"/>
    <col min="4097" max="4097" width="15.7109375" style="14" customWidth="1"/>
    <col min="4098" max="4098" width="14.85546875" style="14" customWidth="1"/>
    <col min="4099" max="4101" width="15.28515625" style="14" customWidth="1"/>
    <col min="4102" max="4102" width="17.42578125" style="14" customWidth="1"/>
    <col min="4103" max="4103" width="14.7109375" style="14" customWidth="1"/>
    <col min="4104" max="4105" width="15.28515625" style="14" customWidth="1"/>
    <col min="4106" max="4106" width="17.42578125" style="14" customWidth="1"/>
    <col min="4107" max="4109" width="15.28515625" style="14" customWidth="1"/>
    <col min="4110" max="4110" width="17.42578125" style="14" customWidth="1"/>
    <col min="4111" max="4337" width="9.140625" style="14"/>
    <col min="4338" max="4338" width="20.7109375" style="14" customWidth="1"/>
    <col min="4339" max="4339" width="16.42578125" style="14" customWidth="1"/>
    <col min="4340" max="4340" width="13.28515625" style="14" customWidth="1"/>
    <col min="4341" max="4342" width="13.140625" style="14" customWidth="1"/>
    <col min="4343" max="4346" width="12.28515625" style="14" customWidth="1"/>
    <col min="4347" max="4347" width="18.7109375" style="14" customWidth="1"/>
    <col min="4348" max="4352" width="18" style="14" customWidth="1"/>
    <col min="4353" max="4353" width="15.7109375" style="14" customWidth="1"/>
    <col min="4354" max="4354" width="14.85546875" style="14" customWidth="1"/>
    <col min="4355" max="4357" width="15.28515625" style="14" customWidth="1"/>
    <col min="4358" max="4358" width="17.42578125" style="14" customWidth="1"/>
    <col min="4359" max="4359" width="14.7109375" style="14" customWidth="1"/>
    <col min="4360" max="4361" width="15.28515625" style="14" customWidth="1"/>
    <col min="4362" max="4362" width="17.42578125" style="14" customWidth="1"/>
    <col min="4363" max="4365" width="15.28515625" style="14" customWidth="1"/>
    <col min="4366" max="4366" width="17.42578125" style="14" customWidth="1"/>
    <col min="4367" max="4593" width="9.140625" style="14"/>
    <col min="4594" max="4594" width="20.7109375" style="14" customWidth="1"/>
    <col min="4595" max="4595" width="16.42578125" style="14" customWidth="1"/>
    <col min="4596" max="4596" width="13.28515625" style="14" customWidth="1"/>
    <col min="4597" max="4598" width="13.140625" style="14" customWidth="1"/>
    <col min="4599" max="4602" width="12.28515625" style="14" customWidth="1"/>
    <col min="4603" max="4603" width="18.7109375" style="14" customWidth="1"/>
    <col min="4604" max="4608" width="18" style="14" customWidth="1"/>
    <col min="4609" max="4609" width="15.7109375" style="14" customWidth="1"/>
    <col min="4610" max="4610" width="14.85546875" style="14" customWidth="1"/>
    <col min="4611" max="4613" width="15.28515625" style="14" customWidth="1"/>
    <col min="4614" max="4614" width="17.42578125" style="14" customWidth="1"/>
    <col min="4615" max="4615" width="14.7109375" style="14" customWidth="1"/>
    <col min="4616" max="4617" width="15.28515625" style="14" customWidth="1"/>
    <col min="4618" max="4618" width="17.42578125" style="14" customWidth="1"/>
    <col min="4619" max="4621" width="15.28515625" style="14" customWidth="1"/>
    <col min="4622" max="4622" width="17.42578125" style="14" customWidth="1"/>
    <col min="4623" max="4849" width="9.140625" style="14"/>
    <col min="4850" max="4850" width="20.7109375" style="14" customWidth="1"/>
    <col min="4851" max="4851" width="16.42578125" style="14" customWidth="1"/>
    <col min="4852" max="4852" width="13.28515625" style="14" customWidth="1"/>
    <col min="4853" max="4854" width="13.140625" style="14" customWidth="1"/>
    <col min="4855" max="4858" width="12.28515625" style="14" customWidth="1"/>
    <col min="4859" max="4859" width="18.7109375" style="14" customWidth="1"/>
    <col min="4860" max="4864" width="18" style="14" customWidth="1"/>
    <col min="4865" max="4865" width="15.7109375" style="14" customWidth="1"/>
    <col min="4866" max="4866" width="14.85546875" style="14" customWidth="1"/>
    <col min="4867" max="4869" width="15.28515625" style="14" customWidth="1"/>
    <col min="4870" max="4870" width="17.42578125" style="14" customWidth="1"/>
    <col min="4871" max="4871" width="14.7109375" style="14" customWidth="1"/>
    <col min="4872" max="4873" width="15.28515625" style="14" customWidth="1"/>
    <col min="4874" max="4874" width="17.42578125" style="14" customWidth="1"/>
    <col min="4875" max="4877" width="15.28515625" style="14" customWidth="1"/>
    <col min="4878" max="4878" width="17.42578125" style="14" customWidth="1"/>
    <col min="4879" max="5105" width="9.140625" style="14"/>
    <col min="5106" max="5106" width="20.7109375" style="14" customWidth="1"/>
    <col min="5107" max="5107" width="16.42578125" style="14" customWidth="1"/>
    <col min="5108" max="5108" width="13.28515625" style="14" customWidth="1"/>
    <col min="5109" max="5110" width="13.140625" style="14" customWidth="1"/>
    <col min="5111" max="5114" width="12.28515625" style="14" customWidth="1"/>
    <col min="5115" max="5115" width="18.7109375" style="14" customWidth="1"/>
    <col min="5116" max="5120" width="18" style="14" customWidth="1"/>
    <col min="5121" max="5121" width="15.7109375" style="14" customWidth="1"/>
    <col min="5122" max="5122" width="14.85546875" style="14" customWidth="1"/>
    <col min="5123" max="5125" width="15.28515625" style="14" customWidth="1"/>
    <col min="5126" max="5126" width="17.42578125" style="14" customWidth="1"/>
    <col min="5127" max="5127" width="14.7109375" style="14" customWidth="1"/>
    <col min="5128" max="5129" width="15.28515625" style="14" customWidth="1"/>
    <col min="5130" max="5130" width="17.42578125" style="14" customWidth="1"/>
    <col min="5131" max="5133" width="15.28515625" style="14" customWidth="1"/>
    <col min="5134" max="5134" width="17.42578125" style="14" customWidth="1"/>
    <col min="5135" max="5361" width="9.140625" style="14"/>
    <col min="5362" max="5362" width="20.7109375" style="14" customWidth="1"/>
    <col min="5363" max="5363" width="16.42578125" style="14" customWidth="1"/>
    <col min="5364" max="5364" width="13.28515625" style="14" customWidth="1"/>
    <col min="5365" max="5366" width="13.140625" style="14" customWidth="1"/>
    <col min="5367" max="5370" width="12.28515625" style="14" customWidth="1"/>
    <col min="5371" max="5371" width="18.7109375" style="14" customWidth="1"/>
    <col min="5372" max="5376" width="18" style="14" customWidth="1"/>
    <col min="5377" max="5377" width="15.7109375" style="14" customWidth="1"/>
    <col min="5378" max="5378" width="14.85546875" style="14" customWidth="1"/>
    <col min="5379" max="5381" width="15.28515625" style="14" customWidth="1"/>
    <col min="5382" max="5382" width="17.42578125" style="14" customWidth="1"/>
    <col min="5383" max="5383" width="14.7109375" style="14" customWidth="1"/>
    <col min="5384" max="5385" width="15.28515625" style="14" customWidth="1"/>
    <col min="5386" max="5386" width="17.42578125" style="14" customWidth="1"/>
    <col min="5387" max="5389" width="15.28515625" style="14" customWidth="1"/>
    <col min="5390" max="5390" width="17.42578125" style="14" customWidth="1"/>
    <col min="5391" max="5617" width="9.140625" style="14"/>
    <col min="5618" max="5618" width="20.7109375" style="14" customWidth="1"/>
    <col min="5619" max="5619" width="16.42578125" style="14" customWidth="1"/>
    <col min="5620" max="5620" width="13.28515625" style="14" customWidth="1"/>
    <col min="5621" max="5622" width="13.140625" style="14" customWidth="1"/>
    <col min="5623" max="5626" width="12.28515625" style="14" customWidth="1"/>
    <col min="5627" max="5627" width="18.7109375" style="14" customWidth="1"/>
    <col min="5628" max="5632" width="18" style="14" customWidth="1"/>
    <col min="5633" max="5633" width="15.7109375" style="14" customWidth="1"/>
    <col min="5634" max="5634" width="14.85546875" style="14" customWidth="1"/>
    <col min="5635" max="5637" width="15.28515625" style="14" customWidth="1"/>
    <col min="5638" max="5638" width="17.42578125" style="14" customWidth="1"/>
    <col min="5639" max="5639" width="14.7109375" style="14" customWidth="1"/>
    <col min="5640" max="5641" width="15.28515625" style="14" customWidth="1"/>
    <col min="5642" max="5642" width="17.42578125" style="14" customWidth="1"/>
    <col min="5643" max="5645" width="15.28515625" style="14" customWidth="1"/>
    <col min="5646" max="5646" width="17.42578125" style="14" customWidth="1"/>
    <col min="5647" max="5873" width="9.140625" style="14"/>
    <col min="5874" max="5874" width="20.7109375" style="14" customWidth="1"/>
    <col min="5875" max="5875" width="16.42578125" style="14" customWidth="1"/>
    <col min="5876" max="5876" width="13.28515625" style="14" customWidth="1"/>
    <col min="5877" max="5878" width="13.140625" style="14" customWidth="1"/>
    <col min="5879" max="5882" width="12.28515625" style="14" customWidth="1"/>
    <col min="5883" max="5883" width="18.7109375" style="14" customWidth="1"/>
    <col min="5884" max="5888" width="18" style="14" customWidth="1"/>
    <col min="5889" max="5889" width="15.7109375" style="14" customWidth="1"/>
    <col min="5890" max="5890" width="14.85546875" style="14" customWidth="1"/>
    <col min="5891" max="5893" width="15.28515625" style="14" customWidth="1"/>
    <col min="5894" max="5894" width="17.42578125" style="14" customWidth="1"/>
    <col min="5895" max="5895" width="14.7109375" style="14" customWidth="1"/>
    <col min="5896" max="5897" width="15.28515625" style="14" customWidth="1"/>
    <col min="5898" max="5898" width="17.42578125" style="14" customWidth="1"/>
    <col min="5899" max="5901" width="15.28515625" style="14" customWidth="1"/>
    <col min="5902" max="5902" width="17.42578125" style="14" customWidth="1"/>
    <col min="5903" max="6129" width="9.140625" style="14"/>
    <col min="6130" max="6130" width="20.7109375" style="14" customWidth="1"/>
    <col min="6131" max="6131" width="16.42578125" style="14" customWidth="1"/>
    <col min="6132" max="6132" width="13.28515625" style="14" customWidth="1"/>
    <col min="6133" max="6134" width="13.140625" style="14" customWidth="1"/>
    <col min="6135" max="6138" width="12.28515625" style="14" customWidth="1"/>
    <col min="6139" max="6139" width="18.7109375" style="14" customWidth="1"/>
    <col min="6140" max="6144" width="18" style="14" customWidth="1"/>
    <col min="6145" max="6145" width="15.7109375" style="14" customWidth="1"/>
    <col min="6146" max="6146" width="14.85546875" style="14" customWidth="1"/>
    <col min="6147" max="6149" width="15.28515625" style="14" customWidth="1"/>
    <col min="6150" max="6150" width="17.42578125" style="14" customWidth="1"/>
    <col min="6151" max="6151" width="14.7109375" style="14" customWidth="1"/>
    <col min="6152" max="6153" width="15.28515625" style="14" customWidth="1"/>
    <col min="6154" max="6154" width="17.42578125" style="14" customWidth="1"/>
    <col min="6155" max="6157" width="15.28515625" style="14" customWidth="1"/>
    <col min="6158" max="6158" width="17.42578125" style="14" customWidth="1"/>
    <col min="6159" max="6385" width="9.140625" style="14"/>
    <col min="6386" max="6386" width="20.7109375" style="14" customWidth="1"/>
    <col min="6387" max="6387" width="16.42578125" style="14" customWidth="1"/>
    <col min="6388" max="6388" width="13.28515625" style="14" customWidth="1"/>
    <col min="6389" max="6390" width="13.140625" style="14" customWidth="1"/>
    <col min="6391" max="6394" width="12.28515625" style="14" customWidth="1"/>
    <col min="6395" max="6395" width="18.7109375" style="14" customWidth="1"/>
    <col min="6396" max="6400" width="18" style="14" customWidth="1"/>
    <col min="6401" max="6401" width="15.7109375" style="14" customWidth="1"/>
    <col min="6402" max="6402" width="14.85546875" style="14" customWidth="1"/>
    <col min="6403" max="6405" width="15.28515625" style="14" customWidth="1"/>
    <col min="6406" max="6406" width="17.42578125" style="14" customWidth="1"/>
    <col min="6407" max="6407" width="14.7109375" style="14" customWidth="1"/>
    <col min="6408" max="6409" width="15.28515625" style="14" customWidth="1"/>
    <col min="6410" max="6410" width="17.42578125" style="14" customWidth="1"/>
    <col min="6411" max="6413" width="15.28515625" style="14" customWidth="1"/>
    <col min="6414" max="6414" width="17.42578125" style="14" customWidth="1"/>
    <col min="6415" max="6641" width="9.140625" style="14"/>
    <col min="6642" max="6642" width="20.7109375" style="14" customWidth="1"/>
    <col min="6643" max="6643" width="16.42578125" style="14" customWidth="1"/>
    <col min="6644" max="6644" width="13.28515625" style="14" customWidth="1"/>
    <col min="6645" max="6646" width="13.140625" style="14" customWidth="1"/>
    <col min="6647" max="6650" width="12.28515625" style="14" customWidth="1"/>
    <col min="6651" max="6651" width="18.7109375" style="14" customWidth="1"/>
    <col min="6652" max="6656" width="18" style="14" customWidth="1"/>
    <col min="6657" max="6657" width="15.7109375" style="14" customWidth="1"/>
    <col min="6658" max="6658" width="14.85546875" style="14" customWidth="1"/>
    <col min="6659" max="6661" width="15.28515625" style="14" customWidth="1"/>
    <col min="6662" max="6662" width="17.42578125" style="14" customWidth="1"/>
    <col min="6663" max="6663" width="14.7109375" style="14" customWidth="1"/>
    <col min="6664" max="6665" width="15.28515625" style="14" customWidth="1"/>
    <col min="6666" max="6666" width="17.42578125" style="14" customWidth="1"/>
    <col min="6667" max="6669" width="15.28515625" style="14" customWidth="1"/>
    <col min="6670" max="6670" width="17.42578125" style="14" customWidth="1"/>
    <col min="6671" max="6897" width="9.140625" style="14"/>
    <col min="6898" max="6898" width="20.7109375" style="14" customWidth="1"/>
    <col min="6899" max="6899" width="16.42578125" style="14" customWidth="1"/>
    <col min="6900" max="6900" width="13.28515625" style="14" customWidth="1"/>
    <col min="6901" max="6902" width="13.140625" style="14" customWidth="1"/>
    <col min="6903" max="6906" width="12.28515625" style="14" customWidth="1"/>
    <col min="6907" max="6907" width="18.7109375" style="14" customWidth="1"/>
    <col min="6908" max="6912" width="18" style="14" customWidth="1"/>
    <col min="6913" max="6913" width="15.7109375" style="14" customWidth="1"/>
    <col min="6914" max="6914" width="14.85546875" style="14" customWidth="1"/>
    <col min="6915" max="6917" width="15.28515625" style="14" customWidth="1"/>
    <col min="6918" max="6918" width="17.42578125" style="14" customWidth="1"/>
    <col min="6919" max="6919" width="14.7109375" style="14" customWidth="1"/>
    <col min="6920" max="6921" width="15.28515625" style="14" customWidth="1"/>
    <col min="6922" max="6922" width="17.42578125" style="14" customWidth="1"/>
    <col min="6923" max="6925" width="15.28515625" style="14" customWidth="1"/>
    <col min="6926" max="6926" width="17.42578125" style="14" customWidth="1"/>
    <col min="6927" max="7153" width="9.140625" style="14"/>
    <col min="7154" max="7154" width="20.7109375" style="14" customWidth="1"/>
    <col min="7155" max="7155" width="16.42578125" style="14" customWidth="1"/>
    <col min="7156" max="7156" width="13.28515625" style="14" customWidth="1"/>
    <col min="7157" max="7158" width="13.140625" style="14" customWidth="1"/>
    <col min="7159" max="7162" width="12.28515625" style="14" customWidth="1"/>
    <col min="7163" max="7163" width="18.7109375" style="14" customWidth="1"/>
    <col min="7164" max="7168" width="18" style="14" customWidth="1"/>
    <col min="7169" max="7169" width="15.7109375" style="14" customWidth="1"/>
    <col min="7170" max="7170" width="14.85546875" style="14" customWidth="1"/>
    <col min="7171" max="7173" width="15.28515625" style="14" customWidth="1"/>
    <col min="7174" max="7174" width="17.42578125" style="14" customWidth="1"/>
    <col min="7175" max="7175" width="14.7109375" style="14" customWidth="1"/>
    <col min="7176" max="7177" width="15.28515625" style="14" customWidth="1"/>
    <col min="7178" max="7178" width="17.42578125" style="14" customWidth="1"/>
    <col min="7179" max="7181" width="15.28515625" style="14" customWidth="1"/>
    <col min="7182" max="7182" width="17.42578125" style="14" customWidth="1"/>
    <col min="7183" max="7409" width="9.140625" style="14"/>
    <col min="7410" max="7410" width="20.7109375" style="14" customWidth="1"/>
    <col min="7411" max="7411" width="16.42578125" style="14" customWidth="1"/>
    <col min="7412" max="7412" width="13.28515625" style="14" customWidth="1"/>
    <col min="7413" max="7414" width="13.140625" style="14" customWidth="1"/>
    <col min="7415" max="7418" width="12.28515625" style="14" customWidth="1"/>
    <col min="7419" max="7419" width="18.7109375" style="14" customWidth="1"/>
    <col min="7420" max="7424" width="18" style="14" customWidth="1"/>
    <col min="7425" max="7425" width="15.7109375" style="14" customWidth="1"/>
    <col min="7426" max="7426" width="14.85546875" style="14" customWidth="1"/>
    <col min="7427" max="7429" width="15.28515625" style="14" customWidth="1"/>
    <col min="7430" max="7430" width="17.42578125" style="14" customWidth="1"/>
    <col min="7431" max="7431" width="14.7109375" style="14" customWidth="1"/>
    <col min="7432" max="7433" width="15.28515625" style="14" customWidth="1"/>
    <col min="7434" max="7434" width="17.42578125" style="14" customWidth="1"/>
    <col min="7435" max="7437" width="15.28515625" style="14" customWidth="1"/>
    <col min="7438" max="7438" width="17.42578125" style="14" customWidth="1"/>
    <col min="7439" max="7665" width="9.140625" style="14"/>
    <col min="7666" max="7666" width="20.7109375" style="14" customWidth="1"/>
    <col min="7667" max="7667" width="16.42578125" style="14" customWidth="1"/>
    <col min="7668" max="7668" width="13.28515625" style="14" customWidth="1"/>
    <col min="7669" max="7670" width="13.140625" style="14" customWidth="1"/>
    <col min="7671" max="7674" width="12.28515625" style="14" customWidth="1"/>
    <col min="7675" max="7675" width="18.7109375" style="14" customWidth="1"/>
    <col min="7676" max="7680" width="18" style="14" customWidth="1"/>
    <col min="7681" max="7681" width="15.7109375" style="14" customWidth="1"/>
    <col min="7682" max="7682" width="14.85546875" style="14" customWidth="1"/>
    <col min="7683" max="7685" width="15.28515625" style="14" customWidth="1"/>
    <col min="7686" max="7686" width="17.42578125" style="14" customWidth="1"/>
    <col min="7687" max="7687" width="14.7109375" style="14" customWidth="1"/>
    <col min="7688" max="7689" width="15.28515625" style="14" customWidth="1"/>
    <col min="7690" max="7690" width="17.42578125" style="14" customWidth="1"/>
    <col min="7691" max="7693" width="15.28515625" style="14" customWidth="1"/>
    <col min="7694" max="7694" width="17.42578125" style="14" customWidth="1"/>
    <col min="7695" max="7921" width="9.140625" style="14"/>
    <col min="7922" max="7922" width="20.7109375" style="14" customWidth="1"/>
    <col min="7923" max="7923" width="16.42578125" style="14" customWidth="1"/>
    <col min="7924" max="7924" width="13.28515625" style="14" customWidth="1"/>
    <col min="7925" max="7926" width="13.140625" style="14" customWidth="1"/>
    <col min="7927" max="7930" width="12.28515625" style="14" customWidth="1"/>
    <col min="7931" max="7931" width="18.7109375" style="14" customWidth="1"/>
    <col min="7932" max="7936" width="18" style="14" customWidth="1"/>
    <col min="7937" max="7937" width="15.7109375" style="14" customWidth="1"/>
    <col min="7938" max="7938" width="14.85546875" style="14" customWidth="1"/>
    <col min="7939" max="7941" width="15.28515625" style="14" customWidth="1"/>
    <col min="7942" max="7942" width="17.42578125" style="14" customWidth="1"/>
    <col min="7943" max="7943" width="14.7109375" style="14" customWidth="1"/>
    <col min="7944" max="7945" width="15.28515625" style="14" customWidth="1"/>
    <col min="7946" max="7946" width="17.42578125" style="14" customWidth="1"/>
    <col min="7947" max="7949" width="15.28515625" style="14" customWidth="1"/>
    <col min="7950" max="7950" width="17.42578125" style="14" customWidth="1"/>
    <col min="7951" max="8177" width="9.140625" style="14"/>
    <col min="8178" max="8178" width="20.7109375" style="14" customWidth="1"/>
    <col min="8179" max="8179" width="16.42578125" style="14" customWidth="1"/>
    <col min="8180" max="8180" width="13.28515625" style="14" customWidth="1"/>
    <col min="8181" max="8182" width="13.140625" style="14" customWidth="1"/>
    <col min="8183" max="8186" width="12.28515625" style="14" customWidth="1"/>
    <col min="8187" max="8187" width="18.7109375" style="14" customWidth="1"/>
    <col min="8188" max="8192" width="18" style="14" customWidth="1"/>
    <col min="8193" max="8193" width="15.7109375" style="14" customWidth="1"/>
    <col min="8194" max="8194" width="14.85546875" style="14" customWidth="1"/>
    <col min="8195" max="8197" width="15.28515625" style="14" customWidth="1"/>
    <col min="8198" max="8198" width="17.42578125" style="14" customWidth="1"/>
    <col min="8199" max="8199" width="14.7109375" style="14" customWidth="1"/>
    <col min="8200" max="8201" width="15.28515625" style="14" customWidth="1"/>
    <col min="8202" max="8202" width="17.42578125" style="14" customWidth="1"/>
    <col min="8203" max="8205" width="15.28515625" style="14" customWidth="1"/>
    <col min="8206" max="8206" width="17.42578125" style="14" customWidth="1"/>
    <col min="8207" max="8433" width="9.140625" style="14"/>
    <col min="8434" max="8434" width="20.7109375" style="14" customWidth="1"/>
    <col min="8435" max="8435" width="16.42578125" style="14" customWidth="1"/>
    <col min="8436" max="8436" width="13.28515625" style="14" customWidth="1"/>
    <col min="8437" max="8438" width="13.140625" style="14" customWidth="1"/>
    <col min="8439" max="8442" width="12.28515625" style="14" customWidth="1"/>
    <col min="8443" max="8443" width="18.7109375" style="14" customWidth="1"/>
    <col min="8444" max="8448" width="18" style="14" customWidth="1"/>
    <col min="8449" max="8449" width="15.7109375" style="14" customWidth="1"/>
    <col min="8450" max="8450" width="14.85546875" style="14" customWidth="1"/>
    <col min="8451" max="8453" width="15.28515625" style="14" customWidth="1"/>
    <col min="8454" max="8454" width="17.42578125" style="14" customWidth="1"/>
    <col min="8455" max="8455" width="14.7109375" style="14" customWidth="1"/>
    <col min="8456" max="8457" width="15.28515625" style="14" customWidth="1"/>
    <col min="8458" max="8458" width="17.42578125" style="14" customWidth="1"/>
    <col min="8459" max="8461" width="15.28515625" style="14" customWidth="1"/>
    <col min="8462" max="8462" width="17.42578125" style="14" customWidth="1"/>
    <col min="8463" max="8689" width="9.140625" style="14"/>
    <col min="8690" max="8690" width="20.7109375" style="14" customWidth="1"/>
    <col min="8691" max="8691" width="16.42578125" style="14" customWidth="1"/>
    <col min="8692" max="8692" width="13.28515625" style="14" customWidth="1"/>
    <col min="8693" max="8694" width="13.140625" style="14" customWidth="1"/>
    <col min="8695" max="8698" width="12.28515625" style="14" customWidth="1"/>
    <col min="8699" max="8699" width="18.7109375" style="14" customWidth="1"/>
    <col min="8700" max="8704" width="18" style="14" customWidth="1"/>
    <col min="8705" max="8705" width="15.7109375" style="14" customWidth="1"/>
    <col min="8706" max="8706" width="14.85546875" style="14" customWidth="1"/>
    <col min="8707" max="8709" width="15.28515625" style="14" customWidth="1"/>
    <col min="8710" max="8710" width="17.42578125" style="14" customWidth="1"/>
    <col min="8711" max="8711" width="14.7109375" style="14" customWidth="1"/>
    <col min="8712" max="8713" width="15.28515625" style="14" customWidth="1"/>
    <col min="8714" max="8714" width="17.42578125" style="14" customWidth="1"/>
    <col min="8715" max="8717" width="15.28515625" style="14" customWidth="1"/>
    <col min="8718" max="8718" width="17.42578125" style="14" customWidth="1"/>
    <col min="8719" max="8945" width="9.140625" style="14"/>
    <col min="8946" max="8946" width="20.7109375" style="14" customWidth="1"/>
    <col min="8947" max="8947" width="16.42578125" style="14" customWidth="1"/>
    <col min="8948" max="8948" width="13.28515625" style="14" customWidth="1"/>
    <col min="8949" max="8950" width="13.140625" style="14" customWidth="1"/>
    <col min="8951" max="8954" width="12.28515625" style="14" customWidth="1"/>
    <col min="8955" max="8955" width="18.7109375" style="14" customWidth="1"/>
    <col min="8956" max="8960" width="18" style="14" customWidth="1"/>
    <col min="8961" max="8961" width="15.7109375" style="14" customWidth="1"/>
    <col min="8962" max="8962" width="14.85546875" style="14" customWidth="1"/>
    <col min="8963" max="8965" width="15.28515625" style="14" customWidth="1"/>
    <col min="8966" max="8966" width="17.42578125" style="14" customWidth="1"/>
    <col min="8967" max="8967" width="14.7109375" style="14" customWidth="1"/>
    <col min="8968" max="8969" width="15.28515625" style="14" customWidth="1"/>
    <col min="8970" max="8970" width="17.42578125" style="14" customWidth="1"/>
    <col min="8971" max="8973" width="15.28515625" style="14" customWidth="1"/>
    <col min="8974" max="8974" width="17.42578125" style="14" customWidth="1"/>
    <col min="8975" max="9201" width="9.140625" style="14"/>
    <col min="9202" max="9202" width="20.7109375" style="14" customWidth="1"/>
    <col min="9203" max="9203" width="16.42578125" style="14" customWidth="1"/>
    <col min="9204" max="9204" width="13.28515625" style="14" customWidth="1"/>
    <col min="9205" max="9206" width="13.140625" style="14" customWidth="1"/>
    <col min="9207" max="9210" width="12.28515625" style="14" customWidth="1"/>
    <col min="9211" max="9211" width="18.7109375" style="14" customWidth="1"/>
    <col min="9212" max="9216" width="18" style="14" customWidth="1"/>
    <col min="9217" max="9217" width="15.7109375" style="14" customWidth="1"/>
    <col min="9218" max="9218" width="14.85546875" style="14" customWidth="1"/>
    <col min="9219" max="9221" width="15.28515625" style="14" customWidth="1"/>
    <col min="9222" max="9222" width="17.42578125" style="14" customWidth="1"/>
    <col min="9223" max="9223" width="14.7109375" style="14" customWidth="1"/>
    <col min="9224" max="9225" width="15.28515625" style="14" customWidth="1"/>
    <col min="9226" max="9226" width="17.42578125" style="14" customWidth="1"/>
    <col min="9227" max="9229" width="15.28515625" style="14" customWidth="1"/>
    <col min="9230" max="9230" width="17.42578125" style="14" customWidth="1"/>
    <col min="9231" max="9457" width="9.140625" style="14"/>
    <col min="9458" max="9458" width="20.7109375" style="14" customWidth="1"/>
    <col min="9459" max="9459" width="16.42578125" style="14" customWidth="1"/>
    <col min="9460" max="9460" width="13.28515625" style="14" customWidth="1"/>
    <col min="9461" max="9462" width="13.140625" style="14" customWidth="1"/>
    <col min="9463" max="9466" width="12.28515625" style="14" customWidth="1"/>
    <col min="9467" max="9467" width="18.7109375" style="14" customWidth="1"/>
    <col min="9468" max="9472" width="18" style="14" customWidth="1"/>
    <col min="9473" max="9473" width="15.7109375" style="14" customWidth="1"/>
    <col min="9474" max="9474" width="14.85546875" style="14" customWidth="1"/>
    <col min="9475" max="9477" width="15.28515625" style="14" customWidth="1"/>
    <col min="9478" max="9478" width="17.42578125" style="14" customWidth="1"/>
    <col min="9479" max="9479" width="14.7109375" style="14" customWidth="1"/>
    <col min="9480" max="9481" width="15.28515625" style="14" customWidth="1"/>
    <col min="9482" max="9482" width="17.42578125" style="14" customWidth="1"/>
    <col min="9483" max="9485" width="15.28515625" style="14" customWidth="1"/>
    <col min="9486" max="9486" width="17.42578125" style="14" customWidth="1"/>
    <col min="9487" max="9713" width="9.140625" style="14"/>
    <col min="9714" max="9714" width="20.7109375" style="14" customWidth="1"/>
    <col min="9715" max="9715" width="16.42578125" style="14" customWidth="1"/>
    <col min="9716" max="9716" width="13.28515625" style="14" customWidth="1"/>
    <col min="9717" max="9718" width="13.140625" style="14" customWidth="1"/>
    <col min="9719" max="9722" width="12.28515625" style="14" customWidth="1"/>
    <col min="9723" max="9723" width="18.7109375" style="14" customWidth="1"/>
    <col min="9724" max="9728" width="18" style="14" customWidth="1"/>
    <col min="9729" max="9729" width="15.7109375" style="14" customWidth="1"/>
    <col min="9730" max="9730" width="14.85546875" style="14" customWidth="1"/>
    <col min="9731" max="9733" width="15.28515625" style="14" customWidth="1"/>
    <col min="9734" max="9734" width="17.42578125" style="14" customWidth="1"/>
    <col min="9735" max="9735" width="14.7109375" style="14" customWidth="1"/>
    <col min="9736" max="9737" width="15.28515625" style="14" customWidth="1"/>
    <col min="9738" max="9738" width="17.42578125" style="14" customWidth="1"/>
    <col min="9739" max="9741" width="15.28515625" style="14" customWidth="1"/>
    <col min="9742" max="9742" width="17.42578125" style="14" customWidth="1"/>
    <col min="9743" max="9969" width="9.140625" style="14"/>
    <col min="9970" max="9970" width="20.7109375" style="14" customWidth="1"/>
    <col min="9971" max="9971" width="16.42578125" style="14" customWidth="1"/>
    <col min="9972" max="9972" width="13.28515625" style="14" customWidth="1"/>
    <col min="9973" max="9974" width="13.140625" style="14" customWidth="1"/>
    <col min="9975" max="9978" width="12.28515625" style="14" customWidth="1"/>
    <col min="9979" max="9979" width="18.7109375" style="14" customWidth="1"/>
    <col min="9980" max="9984" width="18" style="14" customWidth="1"/>
    <col min="9985" max="9985" width="15.7109375" style="14" customWidth="1"/>
    <col min="9986" max="9986" width="14.85546875" style="14" customWidth="1"/>
    <col min="9987" max="9989" width="15.28515625" style="14" customWidth="1"/>
    <col min="9990" max="9990" width="17.42578125" style="14" customWidth="1"/>
    <col min="9991" max="9991" width="14.7109375" style="14" customWidth="1"/>
    <col min="9992" max="9993" width="15.28515625" style="14" customWidth="1"/>
    <col min="9994" max="9994" width="17.42578125" style="14" customWidth="1"/>
    <col min="9995" max="9997" width="15.28515625" style="14" customWidth="1"/>
    <col min="9998" max="9998" width="17.42578125" style="14" customWidth="1"/>
    <col min="9999" max="10225" width="9.140625" style="14"/>
    <col min="10226" max="10226" width="20.7109375" style="14" customWidth="1"/>
    <col min="10227" max="10227" width="16.42578125" style="14" customWidth="1"/>
    <col min="10228" max="10228" width="13.28515625" style="14" customWidth="1"/>
    <col min="10229" max="10230" width="13.140625" style="14" customWidth="1"/>
    <col min="10231" max="10234" width="12.28515625" style="14" customWidth="1"/>
    <col min="10235" max="10235" width="18.7109375" style="14" customWidth="1"/>
    <col min="10236" max="10240" width="18" style="14" customWidth="1"/>
    <col min="10241" max="10241" width="15.7109375" style="14" customWidth="1"/>
    <col min="10242" max="10242" width="14.85546875" style="14" customWidth="1"/>
    <col min="10243" max="10245" width="15.28515625" style="14" customWidth="1"/>
    <col min="10246" max="10246" width="17.42578125" style="14" customWidth="1"/>
    <col min="10247" max="10247" width="14.7109375" style="14" customWidth="1"/>
    <col min="10248" max="10249" width="15.28515625" style="14" customWidth="1"/>
    <col min="10250" max="10250" width="17.42578125" style="14" customWidth="1"/>
    <col min="10251" max="10253" width="15.28515625" style="14" customWidth="1"/>
    <col min="10254" max="10254" width="17.42578125" style="14" customWidth="1"/>
    <col min="10255" max="10481" width="9.140625" style="14"/>
    <col min="10482" max="10482" width="20.7109375" style="14" customWidth="1"/>
    <col min="10483" max="10483" width="16.42578125" style="14" customWidth="1"/>
    <col min="10484" max="10484" width="13.28515625" style="14" customWidth="1"/>
    <col min="10485" max="10486" width="13.140625" style="14" customWidth="1"/>
    <col min="10487" max="10490" width="12.28515625" style="14" customWidth="1"/>
    <col min="10491" max="10491" width="18.7109375" style="14" customWidth="1"/>
    <col min="10492" max="10496" width="18" style="14" customWidth="1"/>
    <col min="10497" max="10497" width="15.7109375" style="14" customWidth="1"/>
    <col min="10498" max="10498" width="14.85546875" style="14" customWidth="1"/>
    <col min="10499" max="10501" width="15.28515625" style="14" customWidth="1"/>
    <col min="10502" max="10502" width="17.42578125" style="14" customWidth="1"/>
    <col min="10503" max="10503" width="14.7109375" style="14" customWidth="1"/>
    <col min="10504" max="10505" width="15.28515625" style="14" customWidth="1"/>
    <col min="10506" max="10506" width="17.42578125" style="14" customWidth="1"/>
    <col min="10507" max="10509" width="15.28515625" style="14" customWidth="1"/>
    <col min="10510" max="10510" width="17.42578125" style="14" customWidth="1"/>
    <col min="10511" max="10737" width="9.140625" style="14"/>
    <col min="10738" max="10738" width="20.7109375" style="14" customWidth="1"/>
    <col min="10739" max="10739" width="16.42578125" style="14" customWidth="1"/>
    <col min="10740" max="10740" width="13.28515625" style="14" customWidth="1"/>
    <col min="10741" max="10742" width="13.140625" style="14" customWidth="1"/>
    <col min="10743" max="10746" width="12.28515625" style="14" customWidth="1"/>
    <col min="10747" max="10747" width="18.7109375" style="14" customWidth="1"/>
    <col min="10748" max="10752" width="18" style="14" customWidth="1"/>
    <col min="10753" max="10753" width="15.7109375" style="14" customWidth="1"/>
    <col min="10754" max="10754" width="14.85546875" style="14" customWidth="1"/>
    <col min="10755" max="10757" width="15.28515625" style="14" customWidth="1"/>
    <col min="10758" max="10758" width="17.42578125" style="14" customWidth="1"/>
    <col min="10759" max="10759" width="14.7109375" style="14" customWidth="1"/>
    <col min="10760" max="10761" width="15.28515625" style="14" customWidth="1"/>
    <col min="10762" max="10762" width="17.42578125" style="14" customWidth="1"/>
    <col min="10763" max="10765" width="15.28515625" style="14" customWidth="1"/>
    <col min="10766" max="10766" width="17.42578125" style="14" customWidth="1"/>
    <col min="10767" max="10993" width="9.140625" style="14"/>
    <col min="10994" max="10994" width="20.7109375" style="14" customWidth="1"/>
    <col min="10995" max="10995" width="16.42578125" style="14" customWidth="1"/>
    <col min="10996" max="10996" width="13.28515625" style="14" customWidth="1"/>
    <col min="10997" max="10998" width="13.140625" style="14" customWidth="1"/>
    <col min="10999" max="11002" width="12.28515625" style="14" customWidth="1"/>
    <col min="11003" max="11003" width="18.7109375" style="14" customWidth="1"/>
    <col min="11004" max="11008" width="18" style="14" customWidth="1"/>
    <col min="11009" max="11009" width="15.7109375" style="14" customWidth="1"/>
    <col min="11010" max="11010" width="14.85546875" style="14" customWidth="1"/>
    <col min="11011" max="11013" width="15.28515625" style="14" customWidth="1"/>
    <col min="11014" max="11014" width="17.42578125" style="14" customWidth="1"/>
    <col min="11015" max="11015" width="14.7109375" style="14" customWidth="1"/>
    <col min="11016" max="11017" width="15.28515625" style="14" customWidth="1"/>
    <col min="11018" max="11018" width="17.42578125" style="14" customWidth="1"/>
    <col min="11019" max="11021" width="15.28515625" style="14" customWidth="1"/>
    <col min="11022" max="11022" width="17.42578125" style="14" customWidth="1"/>
    <col min="11023" max="11249" width="9.140625" style="14"/>
    <col min="11250" max="11250" width="20.7109375" style="14" customWidth="1"/>
    <col min="11251" max="11251" width="16.42578125" style="14" customWidth="1"/>
    <col min="11252" max="11252" width="13.28515625" style="14" customWidth="1"/>
    <col min="11253" max="11254" width="13.140625" style="14" customWidth="1"/>
    <col min="11255" max="11258" width="12.28515625" style="14" customWidth="1"/>
    <col min="11259" max="11259" width="18.7109375" style="14" customWidth="1"/>
    <col min="11260" max="11264" width="18" style="14" customWidth="1"/>
    <col min="11265" max="11265" width="15.7109375" style="14" customWidth="1"/>
    <col min="11266" max="11266" width="14.85546875" style="14" customWidth="1"/>
    <col min="11267" max="11269" width="15.28515625" style="14" customWidth="1"/>
    <col min="11270" max="11270" width="17.42578125" style="14" customWidth="1"/>
    <col min="11271" max="11271" width="14.7109375" style="14" customWidth="1"/>
    <col min="11272" max="11273" width="15.28515625" style="14" customWidth="1"/>
    <col min="11274" max="11274" width="17.42578125" style="14" customWidth="1"/>
    <col min="11275" max="11277" width="15.28515625" style="14" customWidth="1"/>
    <col min="11278" max="11278" width="17.42578125" style="14" customWidth="1"/>
    <col min="11279" max="11505" width="9.140625" style="14"/>
    <col min="11506" max="11506" width="20.7109375" style="14" customWidth="1"/>
    <col min="11507" max="11507" width="16.42578125" style="14" customWidth="1"/>
    <col min="11508" max="11508" width="13.28515625" style="14" customWidth="1"/>
    <col min="11509" max="11510" width="13.140625" style="14" customWidth="1"/>
    <col min="11511" max="11514" width="12.28515625" style="14" customWidth="1"/>
    <col min="11515" max="11515" width="18.7109375" style="14" customWidth="1"/>
    <col min="11516" max="11520" width="18" style="14" customWidth="1"/>
    <col min="11521" max="11521" width="15.7109375" style="14" customWidth="1"/>
    <col min="11522" max="11522" width="14.85546875" style="14" customWidth="1"/>
    <col min="11523" max="11525" width="15.28515625" style="14" customWidth="1"/>
    <col min="11526" max="11526" width="17.42578125" style="14" customWidth="1"/>
    <col min="11527" max="11527" width="14.7109375" style="14" customWidth="1"/>
    <col min="11528" max="11529" width="15.28515625" style="14" customWidth="1"/>
    <col min="11530" max="11530" width="17.42578125" style="14" customWidth="1"/>
    <col min="11531" max="11533" width="15.28515625" style="14" customWidth="1"/>
    <col min="11534" max="11534" width="17.42578125" style="14" customWidth="1"/>
    <col min="11535" max="11761" width="9.140625" style="14"/>
    <col min="11762" max="11762" width="20.7109375" style="14" customWidth="1"/>
    <col min="11763" max="11763" width="16.42578125" style="14" customWidth="1"/>
    <col min="11764" max="11764" width="13.28515625" style="14" customWidth="1"/>
    <col min="11765" max="11766" width="13.140625" style="14" customWidth="1"/>
    <col min="11767" max="11770" width="12.28515625" style="14" customWidth="1"/>
    <col min="11771" max="11771" width="18.7109375" style="14" customWidth="1"/>
    <col min="11772" max="11776" width="18" style="14" customWidth="1"/>
    <col min="11777" max="11777" width="15.7109375" style="14" customWidth="1"/>
    <col min="11778" max="11778" width="14.85546875" style="14" customWidth="1"/>
    <col min="11779" max="11781" width="15.28515625" style="14" customWidth="1"/>
    <col min="11782" max="11782" width="17.42578125" style="14" customWidth="1"/>
    <col min="11783" max="11783" width="14.7109375" style="14" customWidth="1"/>
    <col min="11784" max="11785" width="15.28515625" style="14" customWidth="1"/>
    <col min="11786" max="11786" width="17.42578125" style="14" customWidth="1"/>
    <col min="11787" max="11789" width="15.28515625" style="14" customWidth="1"/>
    <col min="11790" max="11790" width="17.42578125" style="14" customWidth="1"/>
    <col min="11791" max="12017" width="9.140625" style="14"/>
    <col min="12018" max="12018" width="20.7109375" style="14" customWidth="1"/>
    <col min="12019" max="12019" width="16.42578125" style="14" customWidth="1"/>
    <col min="12020" max="12020" width="13.28515625" style="14" customWidth="1"/>
    <col min="12021" max="12022" width="13.140625" style="14" customWidth="1"/>
    <col min="12023" max="12026" width="12.28515625" style="14" customWidth="1"/>
    <col min="12027" max="12027" width="18.7109375" style="14" customWidth="1"/>
    <col min="12028" max="12032" width="18" style="14" customWidth="1"/>
    <col min="12033" max="12033" width="15.7109375" style="14" customWidth="1"/>
    <col min="12034" max="12034" width="14.85546875" style="14" customWidth="1"/>
    <col min="12035" max="12037" width="15.28515625" style="14" customWidth="1"/>
    <col min="12038" max="12038" width="17.42578125" style="14" customWidth="1"/>
    <col min="12039" max="12039" width="14.7109375" style="14" customWidth="1"/>
    <col min="12040" max="12041" width="15.28515625" style="14" customWidth="1"/>
    <col min="12042" max="12042" width="17.42578125" style="14" customWidth="1"/>
    <col min="12043" max="12045" width="15.28515625" style="14" customWidth="1"/>
    <col min="12046" max="12046" width="17.42578125" style="14" customWidth="1"/>
    <col min="12047" max="12273" width="9.140625" style="14"/>
    <col min="12274" max="12274" width="20.7109375" style="14" customWidth="1"/>
    <col min="12275" max="12275" width="16.42578125" style="14" customWidth="1"/>
    <col min="12276" max="12276" width="13.28515625" style="14" customWidth="1"/>
    <col min="12277" max="12278" width="13.140625" style="14" customWidth="1"/>
    <col min="12279" max="12282" width="12.28515625" style="14" customWidth="1"/>
    <col min="12283" max="12283" width="18.7109375" style="14" customWidth="1"/>
    <col min="12284" max="12288" width="18" style="14" customWidth="1"/>
    <col min="12289" max="12289" width="15.7109375" style="14" customWidth="1"/>
    <col min="12290" max="12290" width="14.85546875" style="14" customWidth="1"/>
    <col min="12291" max="12293" width="15.28515625" style="14" customWidth="1"/>
    <col min="12294" max="12294" width="17.42578125" style="14" customWidth="1"/>
    <col min="12295" max="12295" width="14.7109375" style="14" customWidth="1"/>
    <col min="12296" max="12297" width="15.28515625" style="14" customWidth="1"/>
    <col min="12298" max="12298" width="17.42578125" style="14" customWidth="1"/>
    <col min="12299" max="12301" width="15.28515625" style="14" customWidth="1"/>
    <col min="12302" max="12302" width="17.42578125" style="14" customWidth="1"/>
    <col min="12303" max="12529" width="9.140625" style="14"/>
    <col min="12530" max="12530" width="20.7109375" style="14" customWidth="1"/>
    <col min="12531" max="12531" width="16.42578125" style="14" customWidth="1"/>
    <col min="12532" max="12532" width="13.28515625" style="14" customWidth="1"/>
    <col min="12533" max="12534" width="13.140625" style="14" customWidth="1"/>
    <col min="12535" max="12538" width="12.28515625" style="14" customWidth="1"/>
    <col min="12539" max="12539" width="18.7109375" style="14" customWidth="1"/>
    <col min="12540" max="12544" width="18" style="14" customWidth="1"/>
    <col min="12545" max="12545" width="15.7109375" style="14" customWidth="1"/>
    <col min="12546" max="12546" width="14.85546875" style="14" customWidth="1"/>
    <col min="12547" max="12549" width="15.28515625" style="14" customWidth="1"/>
    <col min="12550" max="12550" width="17.42578125" style="14" customWidth="1"/>
    <col min="12551" max="12551" width="14.7109375" style="14" customWidth="1"/>
    <col min="12552" max="12553" width="15.28515625" style="14" customWidth="1"/>
    <col min="12554" max="12554" width="17.42578125" style="14" customWidth="1"/>
    <col min="12555" max="12557" width="15.28515625" style="14" customWidth="1"/>
    <col min="12558" max="12558" width="17.42578125" style="14" customWidth="1"/>
    <col min="12559" max="12785" width="9.140625" style="14"/>
    <col min="12786" max="12786" width="20.7109375" style="14" customWidth="1"/>
    <col min="12787" max="12787" width="16.42578125" style="14" customWidth="1"/>
    <col min="12788" max="12788" width="13.28515625" style="14" customWidth="1"/>
    <col min="12789" max="12790" width="13.140625" style="14" customWidth="1"/>
    <col min="12791" max="12794" width="12.28515625" style="14" customWidth="1"/>
    <col min="12795" max="12795" width="18.7109375" style="14" customWidth="1"/>
    <col min="12796" max="12800" width="18" style="14" customWidth="1"/>
    <col min="12801" max="12801" width="15.7109375" style="14" customWidth="1"/>
    <col min="12802" max="12802" width="14.85546875" style="14" customWidth="1"/>
    <col min="12803" max="12805" width="15.28515625" style="14" customWidth="1"/>
    <col min="12806" max="12806" width="17.42578125" style="14" customWidth="1"/>
    <col min="12807" max="12807" width="14.7109375" style="14" customWidth="1"/>
    <col min="12808" max="12809" width="15.28515625" style="14" customWidth="1"/>
    <col min="12810" max="12810" width="17.42578125" style="14" customWidth="1"/>
    <col min="12811" max="12813" width="15.28515625" style="14" customWidth="1"/>
    <col min="12814" max="12814" width="17.42578125" style="14" customWidth="1"/>
    <col min="12815" max="13041" width="9.140625" style="14"/>
    <col min="13042" max="13042" width="20.7109375" style="14" customWidth="1"/>
    <col min="13043" max="13043" width="16.42578125" style="14" customWidth="1"/>
    <col min="13044" max="13044" width="13.28515625" style="14" customWidth="1"/>
    <col min="13045" max="13046" width="13.140625" style="14" customWidth="1"/>
    <col min="13047" max="13050" width="12.28515625" style="14" customWidth="1"/>
    <col min="13051" max="13051" width="18.7109375" style="14" customWidth="1"/>
    <col min="13052" max="13056" width="18" style="14" customWidth="1"/>
    <col min="13057" max="13057" width="15.7109375" style="14" customWidth="1"/>
    <col min="13058" max="13058" width="14.85546875" style="14" customWidth="1"/>
    <col min="13059" max="13061" width="15.28515625" style="14" customWidth="1"/>
    <col min="13062" max="13062" width="17.42578125" style="14" customWidth="1"/>
    <col min="13063" max="13063" width="14.7109375" style="14" customWidth="1"/>
    <col min="13064" max="13065" width="15.28515625" style="14" customWidth="1"/>
    <col min="13066" max="13066" width="17.42578125" style="14" customWidth="1"/>
    <col min="13067" max="13069" width="15.28515625" style="14" customWidth="1"/>
    <col min="13070" max="13070" width="17.42578125" style="14" customWidth="1"/>
    <col min="13071" max="13297" width="9.140625" style="14"/>
    <col min="13298" max="13298" width="20.7109375" style="14" customWidth="1"/>
    <col min="13299" max="13299" width="16.42578125" style="14" customWidth="1"/>
    <col min="13300" max="13300" width="13.28515625" style="14" customWidth="1"/>
    <col min="13301" max="13302" width="13.140625" style="14" customWidth="1"/>
    <col min="13303" max="13306" width="12.28515625" style="14" customWidth="1"/>
    <col min="13307" max="13307" width="18.7109375" style="14" customWidth="1"/>
    <col min="13308" max="13312" width="18" style="14" customWidth="1"/>
    <col min="13313" max="13313" width="15.7109375" style="14" customWidth="1"/>
    <col min="13314" max="13314" width="14.85546875" style="14" customWidth="1"/>
    <col min="13315" max="13317" width="15.28515625" style="14" customWidth="1"/>
    <col min="13318" max="13318" width="17.42578125" style="14" customWidth="1"/>
    <col min="13319" max="13319" width="14.7109375" style="14" customWidth="1"/>
    <col min="13320" max="13321" width="15.28515625" style="14" customWidth="1"/>
    <col min="13322" max="13322" width="17.42578125" style="14" customWidth="1"/>
    <col min="13323" max="13325" width="15.28515625" style="14" customWidth="1"/>
    <col min="13326" max="13326" width="17.42578125" style="14" customWidth="1"/>
    <col min="13327" max="13553" width="9.140625" style="14"/>
    <col min="13554" max="13554" width="20.7109375" style="14" customWidth="1"/>
    <col min="13555" max="13555" width="16.42578125" style="14" customWidth="1"/>
    <col min="13556" max="13556" width="13.28515625" style="14" customWidth="1"/>
    <col min="13557" max="13558" width="13.140625" style="14" customWidth="1"/>
    <col min="13559" max="13562" width="12.28515625" style="14" customWidth="1"/>
    <col min="13563" max="13563" width="18.7109375" style="14" customWidth="1"/>
    <col min="13564" max="13568" width="18" style="14" customWidth="1"/>
    <col min="13569" max="13569" width="15.7109375" style="14" customWidth="1"/>
    <col min="13570" max="13570" width="14.85546875" style="14" customWidth="1"/>
    <col min="13571" max="13573" width="15.28515625" style="14" customWidth="1"/>
    <col min="13574" max="13574" width="17.42578125" style="14" customWidth="1"/>
    <col min="13575" max="13575" width="14.7109375" style="14" customWidth="1"/>
    <col min="13576" max="13577" width="15.28515625" style="14" customWidth="1"/>
    <col min="13578" max="13578" width="17.42578125" style="14" customWidth="1"/>
    <col min="13579" max="13581" width="15.28515625" style="14" customWidth="1"/>
    <col min="13582" max="13582" width="17.42578125" style="14" customWidth="1"/>
    <col min="13583" max="13809" width="9.140625" style="14"/>
    <col min="13810" max="13810" width="20.7109375" style="14" customWidth="1"/>
    <col min="13811" max="13811" width="16.42578125" style="14" customWidth="1"/>
    <col min="13812" max="13812" width="13.28515625" style="14" customWidth="1"/>
    <col min="13813" max="13814" width="13.140625" style="14" customWidth="1"/>
    <col min="13815" max="13818" width="12.28515625" style="14" customWidth="1"/>
    <col min="13819" max="13819" width="18.7109375" style="14" customWidth="1"/>
    <col min="13820" max="13824" width="18" style="14" customWidth="1"/>
    <col min="13825" max="13825" width="15.7109375" style="14" customWidth="1"/>
    <col min="13826" max="13826" width="14.85546875" style="14" customWidth="1"/>
    <col min="13827" max="13829" width="15.28515625" style="14" customWidth="1"/>
    <col min="13830" max="13830" width="17.42578125" style="14" customWidth="1"/>
    <col min="13831" max="13831" width="14.7109375" style="14" customWidth="1"/>
    <col min="13832" max="13833" width="15.28515625" style="14" customWidth="1"/>
    <col min="13834" max="13834" width="17.42578125" style="14" customWidth="1"/>
    <col min="13835" max="13837" width="15.28515625" style="14" customWidth="1"/>
    <col min="13838" max="13838" width="17.42578125" style="14" customWidth="1"/>
    <col min="13839" max="14065" width="9.140625" style="14"/>
    <col min="14066" max="14066" width="20.7109375" style="14" customWidth="1"/>
    <col min="14067" max="14067" width="16.42578125" style="14" customWidth="1"/>
    <col min="14068" max="14068" width="13.28515625" style="14" customWidth="1"/>
    <col min="14069" max="14070" width="13.140625" style="14" customWidth="1"/>
    <col min="14071" max="14074" width="12.28515625" style="14" customWidth="1"/>
    <col min="14075" max="14075" width="18.7109375" style="14" customWidth="1"/>
    <col min="14076" max="14080" width="18" style="14" customWidth="1"/>
    <col min="14081" max="14081" width="15.7109375" style="14" customWidth="1"/>
    <col min="14082" max="14082" width="14.85546875" style="14" customWidth="1"/>
    <col min="14083" max="14085" width="15.28515625" style="14" customWidth="1"/>
    <col min="14086" max="14086" width="17.42578125" style="14" customWidth="1"/>
    <col min="14087" max="14087" width="14.7109375" style="14" customWidth="1"/>
    <col min="14088" max="14089" width="15.28515625" style="14" customWidth="1"/>
    <col min="14090" max="14090" width="17.42578125" style="14" customWidth="1"/>
    <col min="14091" max="14093" width="15.28515625" style="14" customWidth="1"/>
    <col min="14094" max="14094" width="17.42578125" style="14" customWidth="1"/>
    <col min="14095" max="14321" width="9.140625" style="14"/>
    <col min="14322" max="14322" width="20.7109375" style="14" customWidth="1"/>
    <col min="14323" max="14323" width="16.42578125" style="14" customWidth="1"/>
    <col min="14324" max="14324" width="13.28515625" style="14" customWidth="1"/>
    <col min="14325" max="14326" width="13.140625" style="14" customWidth="1"/>
    <col min="14327" max="14330" width="12.28515625" style="14" customWidth="1"/>
    <col min="14331" max="14331" width="18.7109375" style="14" customWidth="1"/>
    <col min="14332" max="14336" width="18" style="14" customWidth="1"/>
    <col min="14337" max="14337" width="15.7109375" style="14" customWidth="1"/>
    <col min="14338" max="14338" width="14.85546875" style="14" customWidth="1"/>
    <col min="14339" max="14341" width="15.28515625" style="14" customWidth="1"/>
    <col min="14342" max="14342" width="17.42578125" style="14" customWidth="1"/>
    <col min="14343" max="14343" width="14.7109375" style="14" customWidth="1"/>
    <col min="14344" max="14345" width="15.28515625" style="14" customWidth="1"/>
    <col min="14346" max="14346" width="17.42578125" style="14" customWidth="1"/>
    <col min="14347" max="14349" width="15.28515625" style="14" customWidth="1"/>
    <col min="14350" max="14350" width="17.42578125" style="14" customWidth="1"/>
    <col min="14351" max="14577" width="9.140625" style="14"/>
    <col min="14578" max="14578" width="20.7109375" style="14" customWidth="1"/>
    <col min="14579" max="14579" width="16.42578125" style="14" customWidth="1"/>
    <col min="14580" max="14580" width="13.28515625" style="14" customWidth="1"/>
    <col min="14581" max="14582" width="13.140625" style="14" customWidth="1"/>
    <col min="14583" max="14586" width="12.28515625" style="14" customWidth="1"/>
    <col min="14587" max="14587" width="18.7109375" style="14" customWidth="1"/>
    <col min="14588" max="14592" width="18" style="14" customWidth="1"/>
    <col min="14593" max="14593" width="15.7109375" style="14" customWidth="1"/>
    <col min="14594" max="14594" width="14.85546875" style="14" customWidth="1"/>
    <col min="14595" max="14597" width="15.28515625" style="14" customWidth="1"/>
    <col min="14598" max="14598" width="17.42578125" style="14" customWidth="1"/>
    <col min="14599" max="14599" width="14.7109375" style="14" customWidth="1"/>
    <col min="14600" max="14601" width="15.28515625" style="14" customWidth="1"/>
    <col min="14602" max="14602" width="17.42578125" style="14" customWidth="1"/>
    <col min="14603" max="14605" width="15.28515625" style="14" customWidth="1"/>
    <col min="14606" max="14606" width="17.42578125" style="14" customWidth="1"/>
    <col min="14607" max="14833" width="9.140625" style="14"/>
    <col min="14834" max="14834" width="20.7109375" style="14" customWidth="1"/>
    <col min="14835" max="14835" width="16.42578125" style="14" customWidth="1"/>
    <col min="14836" max="14836" width="13.28515625" style="14" customWidth="1"/>
    <col min="14837" max="14838" width="13.140625" style="14" customWidth="1"/>
    <col min="14839" max="14842" width="12.28515625" style="14" customWidth="1"/>
    <col min="14843" max="14843" width="18.7109375" style="14" customWidth="1"/>
    <col min="14844" max="14848" width="18" style="14" customWidth="1"/>
    <col min="14849" max="14849" width="15.7109375" style="14" customWidth="1"/>
    <col min="14850" max="14850" width="14.85546875" style="14" customWidth="1"/>
    <col min="14851" max="14853" width="15.28515625" style="14" customWidth="1"/>
    <col min="14854" max="14854" width="17.42578125" style="14" customWidth="1"/>
    <col min="14855" max="14855" width="14.7109375" style="14" customWidth="1"/>
    <col min="14856" max="14857" width="15.28515625" style="14" customWidth="1"/>
    <col min="14858" max="14858" width="17.42578125" style="14" customWidth="1"/>
    <col min="14859" max="14861" width="15.28515625" style="14" customWidth="1"/>
    <col min="14862" max="14862" width="17.42578125" style="14" customWidth="1"/>
    <col min="14863" max="15089" width="9.140625" style="14"/>
    <col min="15090" max="15090" width="20.7109375" style="14" customWidth="1"/>
    <col min="15091" max="15091" width="16.42578125" style="14" customWidth="1"/>
    <col min="15092" max="15092" width="13.28515625" style="14" customWidth="1"/>
    <col min="15093" max="15094" width="13.140625" style="14" customWidth="1"/>
    <col min="15095" max="15098" width="12.28515625" style="14" customWidth="1"/>
    <col min="15099" max="15099" width="18.7109375" style="14" customWidth="1"/>
    <col min="15100" max="15104" width="18" style="14" customWidth="1"/>
    <col min="15105" max="15105" width="15.7109375" style="14" customWidth="1"/>
    <col min="15106" max="15106" width="14.85546875" style="14" customWidth="1"/>
    <col min="15107" max="15109" width="15.28515625" style="14" customWidth="1"/>
    <col min="15110" max="15110" width="17.42578125" style="14" customWidth="1"/>
    <col min="15111" max="15111" width="14.7109375" style="14" customWidth="1"/>
    <col min="15112" max="15113" width="15.28515625" style="14" customWidth="1"/>
    <col min="15114" max="15114" width="17.42578125" style="14" customWidth="1"/>
    <col min="15115" max="15117" width="15.28515625" style="14" customWidth="1"/>
    <col min="15118" max="15118" width="17.42578125" style="14" customWidth="1"/>
    <col min="15119" max="15345" width="9.140625" style="14"/>
    <col min="15346" max="15346" width="20.7109375" style="14" customWidth="1"/>
    <col min="15347" max="15347" width="16.42578125" style="14" customWidth="1"/>
    <col min="15348" max="15348" width="13.28515625" style="14" customWidth="1"/>
    <col min="15349" max="15350" width="13.140625" style="14" customWidth="1"/>
    <col min="15351" max="15354" width="12.28515625" style="14" customWidth="1"/>
    <col min="15355" max="15355" width="18.7109375" style="14" customWidth="1"/>
    <col min="15356" max="15360" width="18" style="14" customWidth="1"/>
    <col min="15361" max="15361" width="15.7109375" style="14" customWidth="1"/>
    <col min="15362" max="15362" width="14.85546875" style="14" customWidth="1"/>
    <col min="15363" max="15365" width="15.28515625" style="14" customWidth="1"/>
    <col min="15366" max="15366" width="17.42578125" style="14" customWidth="1"/>
    <col min="15367" max="15367" width="14.7109375" style="14" customWidth="1"/>
    <col min="15368" max="15369" width="15.28515625" style="14" customWidth="1"/>
    <col min="15370" max="15370" width="17.42578125" style="14" customWidth="1"/>
    <col min="15371" max="15373" width="15.28515625" style="14" customWidth="1"/>
    <col min="15374" max="15374" width="17.42578125" style="14" customWidth="1"/>
    <col min="15375" max="15601" width="9.140625" style="14"/>
    <col min="15602" max="15602" width="20.7109375" style="14" customWidth="1"/>
    <col min="15603" max="15603" width="16.42578125" style="14" customWidth="1"/>
    <col min="15604" max="15604" width="13.28515625" style="14" customWidth="1"/>
    <col min="15605" max="15606" width="13.140625" style="14" customWidth="1"/>
    <col min="15607" max="15610" width="12.28515625" style="14" customWidth="1"/>
    <col min="15611" max="15611" width="18.7109375" style="14" customWidth="1"/>
    <col min="15612" max="15616" width="18" style="14" customWidth="1"/>
    <col min="15617" max="15617" width="15.7109375" style="14" customWidth="1"/>
    <col min="15618" max="15618" width="14.85546875" style="14" customWidth="1"/>
    <col min="15619" max="15621" width="15.28515625" style="14" customWidth="1"/>
    <col min="15622" max="15622" width="17.42578125" style="14" customWidth="1"/>
    <col min="15623" max="15623" width="14.7109375" style="14" customWidth="1"/>
    <col min="15624" max="15625" width="15.28515625" style="14" customWidth="1"/>
    <col min="15626" max="15626" width="17.42578125" style="14" customWidth="1"/>
    <col min="15627" max="15629" width="15.28515625" style="14" customWidth="1"/>
    <col min="15630" max="15630" width="17.42578125" style="14" customWidth="1"/>
    <col min="15631" max="15857" width="9.140625" style="14"/>
    <col min="15858" max="15858" width="20.7109375" style="14" customWidth="1"/>
    <col min="15859" max="15859" width="16.42578125" style="14" customWidth="1"/>
    <col min="15860" max="15860" width="13.28515625" style="14" customWidth="1"/>
    <col min="15861" max="15862" width="13.140625" style="14" customWidth="1"/>
    <col min="15863" max="15866" width="12.28515625" style="14" customWidth="1"/>
    <col min="15867" max="15867" width="18.7109375" style="14" customWidth="1"/>
    <col min="15868" max="15872" width="18" style="14" customWidth="1"/>
    <col min="15873" max="15873" width="15.7109375" style="14" customWidth="1"/>
    <col min="15874" max="15874" width="14.85546875" style="14" customWidth="1"/>
    <col min="15875" max="15877" width="15.28515625" style="14" customWidth="1"/>
    <col min="15878" max="15878" width="17.42578125" style="14" customWidth="1"/>
    <col min="15879" max="15879" width="14.7109375" style="14" customWidth="1"/>
    <col min="15880" max="15881" width="15.28515625" style="14" customWidth="1"/>
    <col min="15882" max="15882" width="17.42578125" style="14" customWidth="1"/>
    <col min="15883" max="15885" width="15.28515625" style="14" customWidth="1"/>
    <col min="15886" max="15886" width="17.42578125" style="14" customWidth="1"/>
    <col min="15887" max="16113" width="9.140625" style="14"/>
    <col min="16114" max="16114" width="20.7109375" style="14" customWidth="1"/>
    <col min="16115" max="16115" width="16.42578125" style="14" customWidth="1"/>
    <col min="16116" max="16116" width="13.28515625" style="14" customWidth="1"/>
    <col min="16117" max="16118" width="13.140625" style="14" customWidth="1"/>
    <col min="16119" max="16122" width="12.28515625" style="14" customWidth="1"/>
    <col min="16123" max="16123" width="18.7109375" style="14" customWidth="1"/>
    <col min="16124" max="16128" width="18" style="14" customWidth="1"/>
    <col min="16129" max="16129" width="15.7109375" style="14" customWidth="1"/>
    <col min="16130" max="16130" width="14.85546875" style="14" customWidth="1"/>
    <col min="16131" max="16133" width="15.28515625" style="14" customWidth="1"/>
    <col min="16134" max="16134" width="17.42578125" style="14" customWidth="1"/>
    <col min="16135" max="16135" width="14.7109375" style="14" customWidth="1"/>
    <col min="16136" max="16137" width="15.28515625" style="14" customWidth="1"/>
    <col min="16138" max="16138" width="17.42578125" style="14" customWidth="1"/>
    <col min="16139" max="16141" width="15.28515625" style="14" customWidth="1"/>
    <col min="16142" max="16142" width="17.42578125" style="14" customWidth="1"/>
    <col min="16143" max="16381" width="9.140625" style="14"/>
    <col min="16382" max="16384" width="9.140625" style="14" customWidth="1"/>
  </cols>
  <sheetData>
    <row r="1" spans="1:18" x14ac:dyDescent="0.2">
      <c r="A1" s="1046" t="s">
        <v>405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</row>
    <row r="2" spans="1:18" s="18" customFormat="1" ht="73.5" customHeight="1" x14ac:dyDescent="0.2">
      <c r="A2" s="1032" t="s">
        <v>132</v>
      </c>
      <c r="B2" s="1045" t="str">
        <f>'Услуги связи'!B3</f>
        <v xml:space="preserve">Нормативная численность обучающихся </v>
      </c>
      <c r="C2" s="1031" t="s">
        <v>24</v>
      </c>
      <c r="D2" s="1031"/>
      <c r="E2" s="1031"/>
      <c r="F2" s="1037" t="s">
        <v>2</v>
      </c>
      <c r="G2" s="1038"/>
      <c r="H2" s="1038"/>
      <c r="I2" s="1039"/>
      <c r="J2" s="1028" t="s">
        <v>338</v>
      </c>
      <c r="K2" s="1028" t="s">
        <v>370</v>
      </c>
      <c r="L2" s="1028" t="s">
        <v>403</v>
      </c>
      <c r="M2" s="1031" t="s">
        <v>150</v>
      </c>
      <c r="N2" s="1031"/>
      <c r="O2" s="1042" t="s">
        <v>322</v>
      </c>
      <c r="P2" s="1028" t="s">
        <v>338</v>
      </c>
      <c r="Q2" s="1028" t="s">
        <v>370</v>
      </c>
      <c r="R2" s="1028" t="s">
        <v>403</v>
      </c>
    </row>
    <row r="3" spans="1:18" s="18" customFormat="1" ht="12.75" customHeight="1" x14ac:dyDescent="0.2">
      <c r="A3" s="1029"/>
      <c r="B3" s="1045"/>
      <c r="C3" s="1031">
        <v>2021</v>
      </c>
      <c r="D3" s="1031">
        <v>2022</v>
      </c>
      <c r="E3" s="1031">
        <v>2023</v>
      </c>
      <c r="F3" s="417">
        <v>2020</v>
      </c>
      <c r="G3" s="417">
        <v>2021</v>
      </c>
      <c r="H3" s="417">
        <v>2022</v>
      </c>
      <c r="I3" s="98">
        <v>2023</v>
      </c>
      <c r="J3" s="1029"/>
      <c r="K3" s="1029"/>
      <c r="L3" s="1029"/>
      <c r="M3" s="1031"/>
      <c r="N3" s="1031"/>
      <c r="O3" s="1043"/>
      <c r="P3" s="1040"/>
      <c r="Q3" s="1040"/>
      <c r="R3" s="1040"/>
    </row>
    <row r="4" spans="1:18" s="18" customFormat="1" ht="12.75" customHeight="1" x14ac:dyDescent="0.2">
      <c r="A4" s="1029"/>
      <c r="B4" s="1045"/>
      <c r="C4" s="1031"/>
      <c r="D4" s="1031"/>
      <c r="E4" s="1031"/>
      <c r="F4" s="1037" t="s">
        <v>22</v>
      </c>
      <c r="G4" s="1038"/>
      <c r="H4" s="1038"/>
      <c r="I4" s="1039"/>
      <c r="J4" s="1029"/>
      <c r="K4" s="1029"/>
      <c r="L4" s="1029"/>
      <c r="M4" s="1031" t="s">
        <v>24</v>
      </c>
      <c r="N4" s="1031" t="s">
        <v>33</v>
      </c>
      <c r="O4" s="1043"/>
      <c r="P4" s="1040"/>
      <c r="Q4" s="1040"/>
      <c r="R4" s="1040"/>
    </row>
    <row r="5" spans="1:18" s="18" customFormat="1" ht="17.25" customHeight="1" x14ac:dyDescent="0.2">
      <c r="A5" s="1030"/>
      <c r="B5" s="1045"/>
      <c r="C5" s="1031"/>
      <c r="D5" s="1031"/>
      <c r="E5" s="1031"/>
      <c r="F5" s="98">
        <v>1</v>
      </c>
      <c r="G5" s="98">
        <v>1.05</v>
      </c>
      <c r="H5" s="98">
        <v>1.05</v>
      </c>
      <c r="I5" s="98">
        <v>1.05</v>
      </c>
      <c r="J5" s="1030"/>
      <c r="K5" s="1030"/>
      <c r="L5" s="1030"/>
      <c r="M5" s="1031"/>
      <c r="N5" s="1031"/>
      <c r="O5" s="1044"/>
      <c r="P5" s="1041"/>
      <c r="Q5" s="1041"/>
      <c r="R5" s="1041"/>
    </row>
    <row r="6" spans="1:18" s="18" customFormat="1" x14ac:dyDescent="0.2">
      <c r="A6" s="38" t="str">
        <f>Тепло!A6</f>
        <v>МАДОУ ЦРР-детский сад № 2</v>
      </c>
      <c r="B6" s="253">
        <f>Тепло!B6</f>
        <v>506</v>
      </c>
      <c r="C6" s="202">
        <f>'Факт. объемы'!Z7</f>
        <v>4222</v>
      </c>
      <c r="D6" s="202">
        <f>C6</f>
        <v>4222</v>
      </c>
      <c r="E6" s="202">
        <f>D6</f>
        <v>4222</v>
      </c>
      <c r="F6" s="204">
        <v>55.3</v>
      </c>
      <c r="G6" s="204">
        <v>48.87</v>
      </c>
      <c r="H6" s="204">
        <v>50.49</v>
      </c>
      <c r="I6" s="204">
        <v>52.63</v>
      </c>
      <c r="J6" s="197">
        <f>ROUND(C6*G6,0)</f>
        <v>206329</v>
      </c>
      <c r="K6" s="197">
        <f>ROUND(D6*H6,0)</f>
        <v>213169</v>
      </c>
      <c r="L6" s="197">
        <f>ROUND(E6*I6,0)</f>
        <v>222204</v>
      </c>
      <c r="M6" s="203"/>
      <c r="N6" s="203"/>
      <c r="O6" s="386">
        <f>ROUND((C6-M6)/B6,2)</f>
        <v>8.34</v>
      </c>
      <c r="P6" s="160">
        <f>ROUND(B6*G6*O6,2)</f>
        <v>206233.35</v>
      </c>
      <c r="Q6" s="160">
        <f>ROUND(B6*H6*O6,2)</f>
        <v>213069.82</v>
      </c>
      <c r="R6" s="160">
        <f>ROUND(B6*I6*O6,2)</f>
        <v>222100.71</v>
      </c>
    </row>
    <row r="7" spans="1:18" s="18" customFormat="1" x14ac:dyDescent="0.2">
      <c r="A7" s="38" t="str">
        <f>Тепло!A7</f>
        <v>МАДОУ ЦРР-детский сад № 11</v>
      </c>
      <c r="B7" s="253">
        <f>Тепло!B7</f>
        <v>559</v>
      </c>
      <c r="C7" s="202">
        <f>'Факт. объемы'!Z8</f>
        <v>4671</v>
      </c>
      <c r="D7" s="202">
        <f t="shared" ref="D7:E14" si="0">C7</f>
        <v>4671</v>
      </c>
      <c r="E7" s="202">
        <f t="shared" si="0"/>
        <v>4671</v>
      </c>
      <c r="F7" s="689">
        <v>55.3</v>
      </c>
      <c r="G7" s="624">
        <v>48.87</v>
      </c>
      <c r="H7" s="624">
        <v>50.49</v>
      </c>
      <c r="I7" s="624">
        <v>52.63</v>
      </c>
      <c r="J7" s="197">
        <f t="shared" ref="J7:J14" si="1">ROUND(C7*G7,0)</f>
        <v>228272</v>
      </c>
      <c r="K7" s="197">
        <f t="shared" ref="K7:K14" si="2">ROUND(D7*H7,0)</f>
        <v>235839</v>
      </c>
      <c r="L7" s="197">
        <f t="shared" ref="L7:L14" si="3">ROUND(E7*I7,0)</f>
        <v>245835</v>
      </c>
      <c r="M7" s="203"/>
      <c r="N7" s="203"/>
      <c r="O7" s="386">
        <f>ROUND((C7-M7)/B7,2)</f>
        <v>8.36</v>
      </c>
      <c r="P7" s="160">
        <f t="shared" ref="P7:P14" si="4">ROUND(B7*G7*O7,2)</f>
        <v>228381.24</v>
      </c>
      <c r="Q7" s="160">
        <f t="shared" ref="Q7:Q14" si="5">ROUND(B7*H7*O7,2)</f>
        <v>235951.89</v>
      </c>
      <c r="R7" s="160">
        <f t="shared" ref="R7:R14" si="6">ROUND(B7*I7*O7,2)</f>
        <v>245952.62</v>
      </c>
    </row>
    <row r="8" spans="1:18" s="18" customFormat="1" x14ac:dyDescent="0.2">
      <c r="A8" s="38" t="str">
        <f>Тепло!A8</f>
        <v>МАДОУ ЦРР-детский сад № 13</v>
      </c>
      <c r="B8" s="253">
        <f>Тепло!B8</f>
        <v>633</v>
      </c>
      <c r="C8" s="202">
        <f>'Факт. объемы'!Z9</f>
        <v>7352</v>
      </c>
      <c r="D8" s="202">
        <f t="shared" si="0"/>
        <v>7352</v>
      </c>
      <c r="E8" s="202">
        <f t="shared" si="0"/>
        <v>7352</v>
      </c>
      <c r="F8" s="689">
        <v>55.3</v>
      </c>
      <c r="G8" s="624">
        <v>48.87</v>
      </c>
      <c r="H8" s="624">
        <v>50.49</v>
      </c>
      <c r="I8" s="624">
        <v>52.63</v>
      </c>
      <c r="J8" s="197">
        <f t="shared" si="1"/>
        <v>359292</v>
      </c>
      <c r="K8" s="197">
        <f t="shared" si="2"/>
        <v>371202</v>
      </c>
      <c r="L8" s="197">
        <f t="shared" si="3"/>
        <v>386936</v>
      </c>
      <c r="M8" s="203"/>
      <c r="N8" s="203"/>
      <c r="O8" s="386">
        <f>ROUND((C8-M8)/B8,2)</f>
        <v>11.61</v>
      </c>
      <c r="P8" s="160">
        <f t="shared" si="4"/>
        <v>359151.98</v>
      </c>
      <c r="Q8" s="160">
        <f t="shared" si="5"/>
        <v>371057.57</v>
      </c>
      <c r="R8" s="160">
        <f t="shared" si="6"/>
        <v>386784.71</v>
      </c>
    </row>
    <row r="9" spans="1:18" s="18" customFormat="1" ht="12.75" customHeight="1" x14ac:dyDescent="0.2">
      <c r="A9" s="38" t="str">
        <f>Тепло!A9</f>
        <v>МАОУ СОШ № 1 структурное подразделение</v>
      </c>
      <c r="B9" s="253">
        <f>Тепло!B9</f>
        <v>381</v>
      </c>
      <c r="C9" s="202">
        <f>'Факт. объемы'!Z10</f>
        <v>3980</v>
      </c>
      <c r="D9" s="202">
        <f t="shared" si="0"/>
        <v>3980</v>
      </c>
      <c r="E9" s="202">
        <f t="shared" si="0"/>
        <v>3980</v>
      </c>
      <c r="F9" s="689">
        <v>55.3</v>
      </c>
      <c r="G9" s="624">
        <v>48.87</v>
      </c>
      <c r="H9" s="624">
        <v>50.49</v>
      </c>
      <c r="I9" s="624">
        <v>52.63</v>
      </c>
      <c r="J9" s="197">
        <f t="shared" si="1"/>
        <v>194503</v>
      </c>
      <c r="K9" s="197">
        <f t="shared" si="2"/>
        <v>200950</v>
      </c>
      <c r="L9" s="197">
        <f t="shared" si="3"/>
        <v>209467</v>
      </c>
      <c r="M9" s="203"/>
      <c r="N9" s="203"/>
      <c r="O9" s="386">
        <f>ROUND((C9-M9)/B9,2)</f>
        <v>10.45</v>
      </c>
      <c r="P9" s="160">
        <f t="shared" si="4"/>
        <v>194573.46</v>
      </c>
      <c r="Q9" s="160">
        <f t="shared" si="5"/>
        <v>201023.41</v>
      </c>
      <c r="R9" s="160">
        <f t="shared" si="6"/>
        <v>209543.71</v>
      </c>
    </row>
    <row r="10" spans="1:18" s="529" customFormat="1" ht="25.5" customHeight="1" x14ac:dyDescent="0.2">
      <c r="A10" s="46" t="str">
        <f>Тепло!A10</f>
        <v>МАОУ СОШ № 2 им.М.И.Грибушина структурное подразделение</v>
      </c>
      <c r="B10" s="253">
        <f>Тепло!B10</f>
        <v>288</v>
      </c>
      <c r="C10" s="202">
        <f>'Факт. объемы'!Z11</f>
        <v>1782</v>
      </c>
      <c r="D10" s="526">
        <f t="shared" si="0"/>
        <v>1782</v>
      </c>
      <c r="E10" s="526">
        <f t="shared" si="0"/>
        <v>1782</v>
      </c>
      <c r="F10" s="689">
        <v>55.3</v>
      </c>
      <c r="G10" s="624">
        <v>48.87</v>
      </c>
      <c r="H10" s="624">
        <v>50.49</v>
      </c>
      <c r="I10" s="624">
        <v>52.63</v>
      </c>
      <c r="J10" s="527">
        <f t="shared" si="1"/>
        <v>87086</v>
      </c>
      <c r="K10" s="527">
        <f t="shared" si="2"/>
        <v>89973</v>
      </c>
      <c r="L10" s="527">
        <f t="shared" si="3"/>
        <v>93787</v>
      </c>
      <c r="M10" s="679"/>
      <c r="N10" s="678"/>
      <c r="O10" s="528">
        <f>ROUND((C10-M10)/B10,2)</f>
        <v>6.19</v>
      </c>
      <c r="P10" s="160">
        <f t="shared" si="4"/>
        <v>87121.53</v>
      </c>
      <c r="Q10" s="160">
        <f t="shared" si="5"/>
        <v>90009.53</v>
      </c>
      <c r="R10" s="160">
        <f t="shared" si="6"/>
        <v>93824.55</v>
      </c>
    </row>
    <row r="11" spans="1:18" s="18" customFormat="1" x14ac:dyDescent="0.2">
      <c r="A11" s="38" t="str">
        <f>Тепло!A11</f>
        <v>МАОУ СОШ № 10 структурное подразделение</v>
      </c>
      <c r="B11" s="253">
        <f>Тепло!B11</f>
        <v>262</v>
      </c>
      <c r="C11" s="202">
        <f>'Факт. объемы'!Z12</f>
        <v>1865</v>
      </c>
      <c r="D11" s="202">
        <f t="shared" si="0"/>
        <v>1865</v>
      </c>
      <c r="E11" s="202">
        <f t="shared" si="0"/>
        <v>1865</v>
      </c>
      <c r="F11" s="689">
        <v>55.3</v>
      </c>
      <c r="G11" s="624">
        <v>48.87</v>
      </c>
      <c r="H11" s="624">
        <v>50.49</v>
      </c>
      <c r="I11" s="624">
        <v>52.63</v>
      </c>
      <c r="J11" s="197">
        <f t="shared" si="1"/>
        <v>91143</v>
      </c>
      <c r="K11" s="197">
        <f t="shared" si="2"/>
        <v>94164</v>
      </c>
      <c r="L11" s="197">
        <f t="shared" si="3"/>
        <v>98155</v>
      </c>
      <c r="M11" s="203"/>
      <c r="N11" s="203"/>
      <c r="O11" s="386">
        <f t="shared" ref="O11:O14" si="7">ROUND((C11-M11)/B11,2)</f>
        <v>7.12</v>
      </c>
      <c r="P11" s="160">
        <f t="shared" si="4"/>
        <v>91164.05</v>
      </c>
      <c r="Q11" s="160">
        <f t="shared" si="5"/>
        <v>94186.07</v>
      </c>
      <c r="R11" s="160">
        <f t="shared" si="6"/>
        <v>98178.11</v>
      </c>
    </row>
    <row r="12" spans="1:18" s="18" customFormat="1" x14ac:dyDescent="0.2">
      <c r="A12" s="38" t="str">
        <f>Тепло!A12</f>
        <v>МАОУ СОШ № 13 структурное подразделение</v>
      </c>
      <c r="B12" s="253">
        <f>Тепло!B12</f>
        <v>224</v>
      </c>
      <c r="C12" s="202">
        <f>'Факт. объемы'!Z13</f>
        <v>2280</v>
      </c>
      <c r="D12" s="202">
        <f t="shared" si="0"/>
        <v>2280</v>
      </c>
      <c r="E12" s="202">
        <f t="shared" si="0"/>
        <v>2280</v>
      </c>
      <c r="F12" s="689">
        <v>55.3</v>
      </c>
      <c r="G12" s="624">
        <v>48.87</v>
      </c>
      <c r="H12" s="624">
        <v>50.49</v>
      </c>
      <c r="I12" s="624">
        <v>52.63</v>
      </c>
      <c r="J12" s="197">
        <f t="shared" si="1"/>
        <v>111424</v>
      </c>
      <c r="K12" s="197">
        <f t="shared" si="2"/>
        <v>115117</v>
      </c>
      <c r="L12" s="197">
        <f t="shared" si="3"/>
        <v>119996</v>
      </c>
      <c r="M12" s="203"/>
      <c r="N12" s="203"/>
      <c r="O12" s="386">
        <f t="shared" si="7"/>
        <v>10.18</v>
      </c>
      <c r="P12" s="160">
        <f t="shared" si="4"/>
        <v>111439.24</v>
      </c>
      <c r="Q12" s="160">
        <f t="shared" si="5"/>
        <v>115133.36</v>
      </c>
      <c r="R12" s="160">
        <f t="shared" si="6"/>
        <v>120013.24</v>
      </c>
    </row>
    <row r="13" spans="1:18" s="18" customFormat="1" x14ac:dyDescent="0.2">
      <c r="A13" s="38" t="str">
        <f>Тепло!A13</f>
        <v>Гимназия № 16 структурное подразделение</v>
      </c>
      <c r="B13" s="253">
        <f>Тепло!B13</f>
        <v>456</v>
      </c>
      <c r="C13" s="202">
        <f>'Факт. объемы'!Z14</f>
        <v>5432</v>
      </c>
      <c r="D13" s="202">
        <f t="shared" si="0"/>
        <v>5432</v>
      </c>
      <c r="E13" s="202">
        <f t="shared" si="0"/>
        <v>5432</v>
      </c>
      <c r="F13" s="689">
        <v>55.3</v>
      </c>
      <c r="G13" s="624">
        <v>48.87</v>
      </c>
      <c r="H13" s="624">
        <v>50.49</v>
      </c>
      <c r="I13" s="624">
        <v>52.63</v>
      </c>
      <c r="J13" s="197">
        <f t="shared" si="1"/>
        <v>265462</v>
      </c>
      <c r="K13" s="197">
        <f t="shared" si="2"/>
        <v>274262</v>
      </c>
      <c r="L13" s="197">
        <f t="shared" si="3"/>
        <v>285886</v>
      </c>
      <c r="M13" s="203"/>
      <c r="N13" s="203"/>
      <c r="O13" s="386">
        <f t="shared" si="7"/>
        <v>11.91</v>
      </c>
      <c r="P13" s="160">
        <f t="shared" si="4"/>
        <v>265411.02</v>
      </c>
      <c r="Q13" s="160">
        <f t="shared" si="5"/>
        <v>274209.17</v>
      </c>
      <c r="R13" s="160">
        <f t="shared" si="6"/>
        <v>285831.42</v>
      </c>
    </row>
    <row r="14" spans="1:18" s="18" customFormat="1" ht="26.25" thickBot="1" x14ac:dyDescent="0.25">
      <c r="A14" s="46" t="str">
        <f>Тепло!A14</f>
        <v>МАОУ ООШ № 17 с кадетскими классами структурное подразделение</v>
      </c>
      <c r="B14" s="253">
        <f>Тепло!B14</f>
        <v>189</v>
      </c>
      <c r="C14" s="202">
        <f>'Факт. объемы'!Z15</f>
        <v>714</v>
      </c>
      <c r="D14" s="202">
        <f t="shared" si="0"/>
        <v>714</v>
      </c>
      <c r="E14" s="202">
        <f t="shared" si="0"/>
        <v>714</v>
      </c>
      <c r="F14" s="689">
        <v>55.3</v>
      </c>
      <c r="G14" s="624">
        <v>48.87</v>
      </c>
      <c r="H14" s="624">
        <v>50.49</v>
      </c>
      <c r="I14" s="624">
        <v>52.63</v>
      </c>
      <c r="J14" s="197">
        <f t="shared" si="1"/>
        <v>34893</v>
      </c>
      <c r="K14" s="197">
        <f t="shared" si="2"/>
        <v>36050</v>
      </c>
      <c r="L14" s="197">
        <f t="shared" si="3"/>
        <v>37578</v>
      </c>
      <c r="M14" s="203"/>
      <c r="N14" s="203"/>
      <c r="O14" s="386">
        <f t="shared" si="7"/>
        <v>3.78</v>
      </c>
      <c r="P14" s="160">
        <f t="shared" si="4"/>
        <v>34913.71</v>
      </c>
      <c r="Q14" s="160">
        <f t="shared" si="5"/>
        <v>36071.07</v>
      </c>
      <c r="R14" s="160">
        <f t="shared" si="6"/>
        <v>37599.919999999998</v>
      </c>
    </row>
    <row r="15" spans="1:18" s="18" customFormat="1" ht="15.75" customHeight="1" thickBot="1" x14ac:dyDescent="0.25">
      <c r="A15" s="71" t="str">
        <f>Электроэнергия!A15</f>
        <v>Итого</v>
      </c>
      <c r="B15" s="296">
        <f>SUM(B6:B14)</f>
        <v>3498</v>
      </c>
      <c r="C15" s="111">
        <f>SUM(C6:C14)</f>
        <v>32298</v>
      </c>
      <c r="D15" s="111">
        <f>SUM(D6:D14)</f>
        <v>32298</v>
      </c>
      <c r="E15" s="111">
        <f>SUM(E6:E14)</f>
        <v>32298</v>
      </c>
      <c r="F15" s="110">
        <f>ROUND(AVERAGE(F6:F14),2)</f>
        <v>55.3</v>
      </c>
      <c r="G15" s="110">
        <f>ROUND(AVERAGE(G6:G14),2)</f>
        <v>48.87</v>
      </c>
      <c r="H15" s="110">
        <f>ROUND(AVERAGE(H6:H14),2)</f>
        <v>50.49</v>
      </c>
      <c r="I15" s="110">
        <f>ROUND(AVERAGE(I6:I14),2)</f>
        <v>52.63</v>
      </c>
      <c r="J15" s="108">
        <f>SUM(J6:J14)</f>
        <v>1578404</v>
      </c>
      <c r="K15" s="108">
        <f>SUM(K6:K14)</f>
        <v>1630726</v>
      </c>
      <c r="L15" s="108">
        <f>SUM(L6:L14)</f>
        <v>1699844</v>
      </c>
      <c r="M15" s="108">
        <f>SUM(M6:M14)</f>
        <v>0</v>
      </c>
      <c r="N15" s="108">
        <f>SUM(N6:N14)</f>
        <v>0</v>
      </c>
      <c r="O15" s="387">
        <f>ROUND(MEDIAN(O6:O14),3)</f>
        <v>8.36</v>
      </c>
      <c r="P15" s="434">
        <f>SUM(P6:P14)</f>
        <v>1578389.5799999998</v>
      </c>
      <c r="Q15" s="434">
        <f>SUM(Q6:Q14)</f>
        <v>1630711.8900000001</v>
      </c>
      <c r="R15" s="340">
        <f>SUM(R6:R14)</f>
        <v>1699828.99</v>
      </c>
    </row>
    <row r="16" spans="1:18" ht="12" customHeight="1" x14ac:dyDescent="0.2">
      <c r="G16" s="142"/>
      <c r="H16" s="142"/>
      <c r="I16" s="142"/>
      <c r="J16" s="78"/>
      <c r="K16" s="78"/>
      <c r="L16" s="78"/>
      <c r="N16" s="1057" t="s">
        <v>234</v>
      </c>
      <c r="O16" s="1057"/>
      <c r="P16" s="443">
        <f>ROUND(G15*O15,2)</f>
        <v>408.55</v>
      </c>
      <c r="Q16" s="443">
        <f>ROUND(H15*O15,2)</f>
        <v>422.1</v>
      </c>
      <c r="R16" s="443">
        <f>ROUND(I15*O15,2)</f>
        <v>439.99</v>
      </c>
    </row>
    <row r="17" spans="1:17" x14ac:dyDescent="0.2">
      <c r="P17" s="86"/>
      <c r="Q17" s="86"/>
    </row>
    <row r="18" spans="1:17" x14ac:dyDescent="0.2">
      <c r="A18" s="14" t="s">
        <v>551</v>
      </c>
    </row>
    <row r="19" spans="1:17" ht="4.5" customHeight="1" x14ac:dyDescent="0.2"/>
    <row r="20" spans="1:17" x14ac:dyDescent="0.2">
      <c r="A20" s="1051" t="s">
        <v>552</v>
      </c>
      <c r="B20" s="701" t="s">
        <v>514</v>
      </c>
      <c r="C20" s="702" t="s">
        <v>515</v>
      </c>
      <c r="D20" s="14" t="s">
        <v>553</v>
      </c>
      <c r="E20" s="701" t="s">
        <v>554</v>
      </c>
      <c r="F20" s="702"/>
      <c r="G20" s="702"/>
      <c r="H20" s="78"/>
      <c r="I20" s="78"/>
    </row>
    <row r="21" spans="1:17" x14ac:dyDescent="0.2">
      <c r="A21" s="1051"/>
      <c r="B21" s="1047" t="s">
        <v>516</v>
      </c>
      <c r="C21" s="703" t="s">
        <v>517</v>
      </c>
      <c r="D21" s="703" t="s">
        <v>555</v>
      </c>
      <c r="E21" s="1049" t="s">
        <v>557</v>
      </c>
      <c r="F21" s="1049"/>
      <c r="G21" s="1049"/>
    </row>
    <row r="22" spans="1:17" x14ac:dyDescent="0.2">
      <c r="A22" s="1051"/>
      <c r="B22" s="1048"/>
      <c r="C22" s="702" t="s">
        <v>524</v>
      </c>
      <c r="D22" s="702" t="s">
        <v>556</v>
      </c>
      <c r="E22" s="1050"/>
      <c r="F22" s="1050"/>
      <c r="G22" s="1050"/>
    </row>
    <row r="23" spans="1:17" x14ac:dyDescent="0.2">
      <c r="A23" s="1051"/>
      <c r="B23" s="1047" t="s">
        <v>521</v>
      </c>
      <c r="C23" s="703" t="s">
        <v>522</v>
      </c>
      <c r="D23" s="703" t="s">
        <v>556</v>
      </c>
      <c r="E23" s="1049" t="s">
        <v>559</v>
      </c>
      <c r="F23" s="1049"/>
      <c r="G23" s="1049"/>
    </row>
    <row r="24" spans="1:17" x14ac:dyDescent="0.2">
      <c r="A24" s="1051"/>
      <c r="B24" s="1048"/>
      <c r="C24" s="702" t="s">
        <v>523</v>
      </c>
      <c r="D24" s="702" t="s">
        <v>558</v>
      </c>
      <c r="E24" s="1050"/>
      <c r="F24" s="1050"/>
      <c r="G24" s="1050"/>
    </row>
    <row r="25" spans="1:17" x14ac:dyDescent="0.2">
      <c r="A25" s="1051"/>
      <c r="B25" s="1047" t="s">
        <v>527</v>
      </c>
      <c r="C25" s="703" t="s">
        <v>528</v>
      </c>
      <c r="D25" s="703" t="s">
        <v>558</v>
      </c>
      <c r="E25" s="1049" t="s">
        <v>561</v>
      </c>
      <c r="F25" s="1049"/>
      <c r="G25" s="1049"/>
    </row>
    <row r="26" spans="1:17" x14ac:dyDescent="0.2">
      <c r="A26" s="1051"/>
      <c r="B26" s="1048"/>
      <c r="C26" s="702" t="s">
        <v>529</v>
      </c>
      <c r="D26" s="702" t="s">
        <v>560</v>
      </c>
      <c r="E26" s="1050"/>
      <c r="F26" s="1050"/>
      <c r="G26" s="1050"/>
    </row>
  </sheetData>
  <mergeCells count="27">
    <mergeCell ref="A20:A26"/>
    <mergeCell ref="B21:B22"/>
    <mergeCell ref="E21:G22"/>
    <mergeCell ref="B23:B24"/>
    <mergeCell ref="E23:G24"/>
    <mergeCell ref="B25:B26"/>
    <mergeCell ref="E25:G26"/>
    <mergeCell ref="N16:O16"/>
    <mergeCell ref="A2:A5"/>
    <mergeCell ref="C2:E2"/>
    <mergeCell ref="F2:I2"/>
    <mergeCell ref="M2:N3"/>
    <mergeCell ref="M4:M5"/>
    <mergeCell ref="N4:N5"/>
    <mergeCell ref="J2:J5"/>
    <mergeCell ref="K2:K5"/>
    <mergeCell ref="L2:L5"/>
    <mergeCell ref="F4:I4"/>
    <mergeCell ref="C3:C5"/>
    <mergeCell ref="D3:D5"/>
    <mergeCell ref="E3:E5"/>
    <mergeCell ref="B2:B5"/>
    <mergeCell ref="A1:R1"/>
    <mergeCell ref="O2:O5"/>
    <mergeCell ref="P2:P5"/>
    <mergeCell ref="Q2:Q5"/>
    <mergeCell ref="R2:R5"/>
  </mergeCells>
  <pageMargins left="0" right="0" top="0.98425196850393704" bottom="0.98425196850393704" header="0.51181102362204722" footer="0.51181102362204722"/>
  <pageSetup paperSize="9" scale="4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R26"/>
  <sheetViews>
    <sheetView zoomScale="110" zoomScaleNormal="110" workbookViewId="0">
      <selection activeCell="I22" sqref="I22"/>
    </sheetView>
  </sheetViews>
  <sheetFormatPr defaultRowHeight="12.75" x14ac:dyDescent="0.2"/>
  <cols>
    <col min="1" max="1" width="42.42578125" style="14" customWidth="1"/>
    <col min="2" max="2" width="12.7109375" style="14" customWidth="1"/>
    <col min="3" max="3" width="12.140625" style="14" bestFit="1" customWidth="1"/>
    <col min="4" max="4" width="11.85546875" style="14" customWidth="1"/>
    <col min="5" max="5" width="12.140625" style="14" bestFit="1" customWidth="1"/>
    <col min="6" max="6" width="9.7109375" style="14" customWidth="1"/>
    <col min="7" max="7" width="9.5703125" style="14" customWidth="1"/>
    <col min="8" max="8" width="9.85546875" style="14" customWidth="1"/>
    <col min="9" max="9" width="9.5703125" style="14" customWidth="1"/>
    <col min="10" max="10" width="12.42578125" style="14" customWidth="1"/>
    <col min="11" max="11" width="12.5703125" style="14" customWidth="1"/>
    <col min="12" max="12" width="13.5703125" style="14" customWidth="1"/>
    <col min="13" max="13" width="9.5703125" style="14" customWidth="1"/>
    <col min="14" max="14" width="10.140625" style="14" customWidth="1"/>
    <col min="15" max="15" width="13.7109375" style="14" customWidth="1"/>
    <col min="16" max="18" width="16" style="14" customWidth="1"/>
    <col min="19" max="244" width="9.140625" style="14"/>
    <col min="245" max="245" width="20.7109375" style="14" customWidth="1"/>
    <col min="246" max="246" width="14.5703125" style="14" customWidth="1"/>
    <col min="247" max="247" width="14.140625" style="14" customWidth="1"/>
    <col min="248" max="248" width="13.28515625" style="14" customWidth="1"/>
    <col min="249" max="249" width="13.5703125" style="14" customWidth="1"/>
    <col min="250" max="250" width="9.7109375" style="14" customWidth="1"/>
    <col min="251" max="251" width="9.5703125" style="14" customWidth="1"/>
    <col min="252" max="252" width="9.85546875" style="14" customWidth="1"/>
    <col min="253" max="253" width="9.140625" style="14"/>
    <col min="254" max="254" width="13.7109375" style="14" customWidth="1"/>
    <col min="255" max="255" width="14.140625" style="14" customWidth="1"/>
    <col min="256" max="256" width="15.5703125" style="14" customWidth="1"/>
    <col min="257" max="259" width="18" style="14" customWidth="1"/>
    <col min="260" max="260" width="15.85546875" style="14" customWidth="1"/>
    <col min="261" max="261" width="14" style="14" customWidth="1"/>
    <col min="262" max="265" width="15.28515625" style="14" customWidth="1"/>
    <col min="266" max="266" width="14.7109375" style="14" customWidth="1"/>
    <col min="267" max="269" width="15.28515625" style="14" customWidth="1"/>
    <col min="270" max="270" width="15.7109375" style="14" customWidth="1"/>
    <col min="271" max="273" width="15.28515625" style="14" customWidth="1"/>
    <col min="274" max="500" width="9.140625" style="14"/>
    <col min="501" max="501" width="20.7109375" style="14" customWidth="1"/>
    <col min="502" max="502" width="14.5703125" style="14" customWidth="1"/>
    <col min="503" max="503" width="14.140625" style="14" customWidth="1"/>
    <col min="504" max="504" width="13.28515625" style="14" customWidth="1"/>
    <col min="505" max="505" width="13.5703125" style="14" customWidth="1"/>
    <col min="506" max="506" width="9.7109375" style="14" customWidth="1"/>
    <col min="507" max="507" width="9.5703125" style="14" customWidth="1"/>
    <col min="508" max="508" width="9.85546875" style="14" customWidth="1"/>
    <col min="509" max="509" width="9.140625" style="14"/>
    <col min="510" max="510" width="13.7109375" style="14" customWidth="1"/>
    <col min="511" max="511" width="14.140625" style="14" customWidth="1"/>
    <col min="512" max="512" width="15.5703125" style="14" customWidth="1"/>
    <col min="513" max="515" width="18" style="14" customWidth="1"/>
    <col min="516" max="516" width="15.85546875" style="14" customWidth="1"/>
    <col min="517" max="517" width="14" style="14" customWidth="1"/>
    <col min="518" max="521" width="15.28515625" style="14" customWidth="1"/>
    <col min="522" max="522" width="14.7109375" style="14" customWidth="1"/>
    <col min="523" max="525" width="15.28515625" style="14" customWidth="1"/>
    <col min="526" max="526" width="15.7109375" style="14" customWidth="1"/>
    <col min="527" max="529" width="15.28515625" style="14" customWidth="1"/>
    <col min="530" max="756" width="9.140625" style="14"/>
    <col min="757" max="757" width="20.7109375" style="14" customWidth="1"/>
    <col min="758" max="758" width="14.5703125" style="14" customWidth="1"/>
    <col min="759" max="759" width="14.140625" style="14" customWidth="1"/>
    <col min="760" max="760" width="13.28515625" style="14" customWidth="1"/>
    <col min="761" max="761" width="13.5703125" style="14" customWidth="1"/>
    <col min="762" max="762" width="9.7109375" style="14" customWidth="1"/>
    <col min="763" max="763" width="9.5703125" style="14" customWidth="1"/>
    <col min="764" max="764" width="9.85546875" style="14" customWidth="1"/>
    <col min="765" max="765" width="9.140625" style="14"/>
    <col min="766" max="766" width="13.7109375" style="14" customWidth="1"/>
    <col min="767" max="767" width="14.140625" style="14" customWidth="1"/>
    <col min="768" max="768" width="15.5703125" style="14" customWidth="1"/>
    <col min="769" max="771" width="18" style="14" customWidth="1"/>
    <col min="772" max="772" width="15.85546875" style="14" customWidth="1"/>
    <col min="773" max="773" width="14" style="14" customWidth="1"/>
    <col min="774" max="777" width="15.28515625" style="14" customWidth="1"/>
    <col min="778" max="778" width="14.7109375" style="14" customWidth="1"/>
    <col min="779" max="781" width="15.28515625" style="14" customWidth="1"/>
    <col min="782" max="782" width="15.7109375" style="14" customWidth="1"/>
    <col min="783" max="785" width="15.28515625" style="14" customWidth="1"/>
    <col min="786" max="1012" width="9.140625" style="14"/>
    <col min="1013" max="1013" width="20.7109375" style="14" customWidth="1"/>
    <col min="1014" max="1014" width="14.5703125" style="14" customWidth="1"/>
    <col min="1015" max="1015" width="14.140625" style="14" customWidth="1"/>
    <col min="1016" max="1016" width="13.28515625" style="14" customWidth="1"/>
    <col min="1017" max="1017" width="13.5703125" style="14" customWidth="1"/>
    <col min="1018" max="1018" width="9.7109375" style="14" customWidth="1"/>
    <col min="1019" max="1019" width="9.5703125" style="14" customWidth="1"/>
    <col min="1020" max="1020" width="9.85546875" style="14" customWidth="1"/>
    <col min="1021" max="1021" width="9.140625" style="14"/>
    <col min="1022" max="1022" width="13.7109375" style="14" customWidth="1"/>
    <col min="1023" max="1023" width="14.140625" style="14" customWidth="1"/>
    <col min="1024" max="1024" width="15.5703125" style="14" customWidth="1"/>
    <col min="1025" max="1027" width="18" style="14" customWidth="1"/>
    <col min="1028" max="1028" width="15.85546875" style="14" customWidth="1"/>
    <col min="1029" max="1029" width="14" style="14" customWidth="1"/>
    <col min="1030" max="1033" width="15.28515625" style="14" customWidth="1"/>
    <col min="1034" max="1034" width="14.7109375" style="14" customWidth="1"/>
    <col min="1035" max="1037" width="15.28515625" style="14" customWidth="1"/>
    <col min="1038" max="1038" width="15.7109375" style="14" customWidth="1"/>
    <col min="1039" max="1041" width="15.28515625" style="14" customWidth="1"/>
    <col min="1042" max="1268" width="9.140625" style="14"/>
    <col min="1269" max="1269" width="20.7109375" style="14" customWidth="1"/>
    <col min="1270" max="1270" width="14.5703125" style="14" customWidth="1"/>
    <col min="1271" max="1271" width="14.140625" style="14" customWidth="1"/>
    <col min="1272" max="1272" width="13.28515625" style="14" customWidth="1"/>
    <col min="1273" max="1273" width="13.5703125" style="14" customWidth="1"/>
    <col min="1274" max="1274" width="9.7109375" style="14" customWidth="1"/>
    <col min="1275" max="1275" width="9.5703125" style="14" customWidth="1"/>
    <col min="1276" max="1276" width="9.85546875" style="14" customWidth="1"/>
    <col min="1277" max="1277" width="9.140625" style="14"/>
    <col min="1278" max="1278" width="13.7109375" style="14" customWidth="1"/>
    <col min="1279" max="1279" width="14.140625" style="14" customWidth="1"/>
    <col min="1280" max="1280" width="15.5703125" style="14" customWidth="1"/>
    <col min="1281" max="1283" width="18" style="14" customWidth="1"/>
    <col min="1284" max="1284" width="15.85546875" style="14" customWidth="1"/>
    <col min="1285" max="1285" width="14" style="14" customWidth="1"/>
    <col min="1286" max="1289" width="15.28515625" style="14" customWidth="1"/>
    <col min="1290" max="1290" width="14.7109375" style="14" customWidth="1"/>
    <col min="1291" max="1293" width="15.28515625" style="14" customWidth="1"/>
    <col min="1294" max="1294" width="15.7109375" style="14" customWidth="1"/>
    <col min="1295" max="1297" width="15.28515625" style="14" customWidth="1"/>
    <col min="1298" max="1524" width="9.140625" style="14"/>
    <col min="1525" max="1525" width="20.7109375" style="14" customWidth="1"/>
    <col min="1526" max="1526" width="14.5703125" style="14" customWidth="1"/>
    <col min="1527" max="1527" width="14.140625" style="14" customWidth="1"/>
    <col min="1528" max="1528" width="13.28515625" style="14" customWidth="1"/>
    <col min="1529" max="1529" width="13.5703125" style="14" customWidth="1"/>
    <col min="1530" max="1530" width="9.7109375" style="14" customWidth="1"/>
    <col min="1531" max="1531" width="9.5703125" style="14" customWidth="1"/>
    <col min="1532" max="1532" width="9.85546875" style="14" customWidth="1"/>
    <col min="1533" max="1533" width="9.140625" style="14"/>
    <col min="1534" max="1534" width="13.7109375" style="14" customWidth="1"/>
    <col min="1535" max="1535" width="14.140625" style="14" customWidth="1"/>
    <col min="1536" max="1536" width="15.5703125" style="14" customWidth="1"/>
    <col min="1537" max="1539" width="18" style="14" customWidth="1"/>
    <col min="1540" max="1540" width="15.85546875" style="14" customWidth="1"/>
    <col min="1541" max="1541" width="14" style="14" customWidth="1"/>
    <col min="1542" max="1545" width="15.28515625" style="14" customWidth="1"/>
    <col min="1546" max="1546" width="14.7109375" style="14" customWidth="1"/>
    <col min="1547" max="1549" width="15.28515625" style="14" customWidth="1"/>
    <col min="1550" max="1550" width="15.7109375" style="14" customWidth="1"/>
    <col min="1551" max="1553" width="15.28515625" style="14" customWidth="1"/>
    <col min="1554" max="1780" width="9.140625" style="14"/>
    <col min="1781" max="1781" width="20.7109375" style="14" customWidth="1"/>
    <col min="1782" max="1782" width="14.5703125" style="14" customWidth="1"/>
    <col min="1783" max="1783" width="14.140625" style="14" customWidth="1"/>
    <col min="1784" max="1784" width="13.28515625" style="14" customWidth="1"/>
    <col min="1785" max="1785" width="13.5703125" style="14" customWidth="1"/>
    <col min="1786" max="1786" width="9.7109375" style="14" customWidth="1"/>
    <col min="1787" max="1787" width="9.5703125" style="14" customWidth="1"/>
    <col min="1788" max="1788" width="9.85546875" style="14" customWidth="1"/>
    <col min="1789" max="1789" width="9.140625" style="14"/>
    <col min="1790" max="1790" width="13.7109375" style="14" customWidth="1"/>
    <col min="1791" max="1791" width="14.140625" style="14" customWidth="1"/>
    <col min="1792" max="1792" width="15.5703125" style="14" customWidth="1"/>
    <col min="1793" max="1795" width="18" style="14" customWidth="1"/>
    <col min="1796" max="1796" width="15.85546875" style="14" customWidth="1"/>
    <col min="1797" max="1797" width="14" style="14" customWidth="1"/>
    <col min="1798" max="1801" width="15.28515625" style="14" customWidth="1"/>
    <col min="1802" max="1802" width="14.7109375" style="14" customWidth="1"/>
    <col min="1803" max="1805" width="15.28515625" style="14" customWidth="1"/>
    <col min="1806" max="1806" width="15.7109375" style="14" customWidth="1"/>
    <col min="1807" max="1809" width="15.28515625" style="14" customWidth="1"/>
    <col min="1810" max="2036" width="9.140625" style="14"/>
    <col min="2037" max="2037" width="20.7109375" style="14" customWidth="1"/>
    <col min="2038" max="2038" width="14.5703125" style="14" customWidth="1"/>
    <col min="2039" max="2039" width="14.140625" style="14" customWidth="1"/>
    <col min="2040" max="2040" width="13.28515625" style="14" customWidth="1"/>
    <col min="2041" max="2041" width="13.5703125" style="14" customWidth="1"/>
    <col min="2042" max="2042" width="9.7109375" style="14" customWidth="1"/>
    <col min="2043" max="2043" width="9.5703125" style="14" customWidth="1"/>
    <col min="2044" max="2044" width="9.85546875" style="14" customWidth="1"/>
    <col min="2045" max="2045" width="9.140625" style="14"/>
    <col min="2046" max="2046" width="13.7109375" style="14" customWidth="1"/>
    <col min="2047" max="2047" width="14.140625" style="14" customWidth="1"/>
    <col min="2048" max="2048" width="15.5703125" style="14" customWidth="1"/>
    <col min="2049" max="2051" width="18" style="14" customWidth="1"/>
    <col min="2052" max="2052" width="15.85546875" style="14" customWidth="1"/>
    <col min="2053" max="2053" width="14" style="14" customWidth="1"/>
    <col min="2054" max="2057" width="15.28515625" style="14" customWidth="1"/>
    <col min="2058" max="2058" width="14.7109375" style="14" customWidth="1"/>
    <col min="2059" max="2061" width="15.28515625" style="14" customWidth="1"/>
    <col min="2062" max="2062" width="15.7109375" style="14" customWidth="1"/>
    <col min="2063" max="2065" width="15.28515625" style="14" customWidth="1"/>
    <col min="2066" max="2292" width="9.140625" style="14"/>
    <col min="2293" max="2293" width="20.7109375" style="14" customWidth="1"/>
    <col min="2294" max="2294" width="14.5703125" style="14" customWidth="1"/>
    <col min="2295" max="2295" width="14.140625" style="14" customWidth="1"/>
    <col min="2296" max="2296" width="13.28515625" style="14" customWidth="1"/>
    <col min="2297" max="2297" width="13.5703125" style="14" customWidth="1"/>
    <col min="2298" max="2298" width="9.7109375" style="14" customWidth="1"/>
    <col min="2299" max="2299" width="9.5703125" style="14" customWidth="1"/>
    <col min="2300" max="2300" width="9.85546875" style="14" customWidth="1"/>
    <col min="2301" max="2301" width="9.140625" style="14"/>
    <col min="2302" max="2302" width="13.7109375" style="14" customWidth="1"/>
    <col min="2303" max="2303" width="14.140625" style="14" customWidth="1"/>
    <col min="2304" max="2304" width="15.5703125" style="14" customWidth="1"/>
    <col min="2305" max="2307" width="18" style="14" customWidth="1"/>
    <col min="2308" max="2308" width="15.85546875" style="14" customWidth="1"/>
    <col min="2309" max="2309" width="14" style="14" customWidth="1"/>
    <col min="2310" max="2313" width="15.28515625" style="14" customWidth="1"/>
    <col min="2314" max="2314" width="14.7109375" style="14" customWidth="1"/>
    <col min="2315" max="2317" width="15.28515625" style="14" customWidth="1"/>
    <col min="2318" max="2318" width="15.7109375" style="14" customWidth="1"/>
    <col min="2319" max="2321" width="15.28515625" style="14" customWidth="1"/>
    <col min="2322" max="2548" width="9.140625" style="14"/>
    <col min="2549" max="2549" width="20.7109375" style="14" customWidth="1"/>
    <col min="2550" max="2550" width="14.5703125" style="14" customWidth="1"/>
    <col min="2551" max="2551" width="14.140625" style="14" customWidth="1"/>
    <col min="2552" max="2552" width="13.28515625" style="14" customWidth="1"/>
    <col min="2553" max="2553" width="13.5703125" style="14" customWidth="1"/>
    <col min="2554" max="2554" width="9.7109375" style="14" customWidth="1"/>
    <col min="2555" max="2555" width="9.5703125" style="14" customWidth="1"/>
    <col min="2556" max="2556" width="9.85546875" style="14" customWidth="1"/>
    <col min="2557" max="2557" width="9.140625" style="14"/>
    <col min="2558" max="2558" width="13.7109375" style="14" customWidth="1"/>
    <col min="2559" max="2559" width="14.140625" style="14" customWidth="1"/>
    <col min="2560" max="2560" width="15.5703125" style="14" customWidth="1"/>
    <col min="2561" max="2563" width="18" style="14" customWidth="1"/>
    <col min="2564" max="2564" width="15.85546875" style="14" customWidth="1"/>
    <col min="2565" max="2565" width="14" style="14" customWidth="1"/>
    <col min="2566" max="2569" width="15.28515625" style="14" customWidth="1"/>
    <col min="2570" max="2570" width="14.7109375" style="14" customWidth="1"/>
    <col min="2571" max="2573" width="15.28515625" style="14" customWidth="1"/>
    <col min="2574" max="2574" width="15.7109375" style="14" customWidth="1"/>
    <col min="2575" max="2577" width="15.28515625" style="14" customWidth="1"/>
    <col min="2578" max="2804" width="9.140625" style="14"/>
    <col min="2805" max="2805" width="20.7109375" style="14" customWidth="1"/>
    <col min="2806" max="2806" width="14.5703125" style="14" customWidth="1"/>
    <col min="2807" max="2807" width="14.140625" style="14" customWidth="1"/>
    <col min="2808" max="2808" width="13.28515625" style="14" customWidth="1"/>
    <col min="2809" max="2809" width="13.5703125" style="14" customWidth="1"/>
    <col min="2810" max="2810" width="9.7109375" style="14" customWidth="1"/>
    <col min="2811" max="2811" width="9.5703125" style="14" customWidth="1"/>
    <col min="2812" max="2812" width="9.85546875" style="14" customWidth="1"/>
    <col min="2813" max="2813" width="9.140625" style="14"/>
    <col min="2814" max="2814" width="13.7109375" style="14" customWidth="1"/>
    <col min="2815" max="2815" width="14.140625" style="14" customWidth="1"/>
    <col min="2816" max="2816" width="15.5703125" style="14" customWidth="1"/>
    <col min="2817" max="2819" width="18" style="14" customWidth="1"/>
    <col min="2820" max="2820" width="15.85546875" style="14" customWidth="1"/>
    <col min="2821" max="2821" width="14" style="14" customWidth="1"/>
    <col min="2822" max="2825" width="15.28515625" style="14" customWidth="1"/>
    <col min="2826" max="2826" width="14.7109375" style="14" customWidth="1"/>
    <col min="2827" max="2829" width="15.28515625" style="14" customWidth="1"/>
    <col min="2830" max="2830" width="15.7109375" style="14" customWidth="1"/>
    <col min="2831" max="2833" width="15.28515625" style="14" customWidth="1"/>
    <col min="2834" max="3060" width="9.140625" style="14"/>
    <col min="3061" max="3061" width="20.7109375" style="14" customWidth="1"/>
    <col min="3062" max="3062" width="14.5703125" style="14" customWidth="1"/>
    <col min="3063" max="3063" width="14.140625" style="14" customWidth="1"/>
    <col min="3064" max="3064" width="13.28515625" style="14" customWidth="1"/>
    <col min="3065" max="3065" width="13.5703125" style="14" customWidth="1"/>
    <col min="3066" max="3066" width="9.7109375" style="14" customWidth="1"/>
    <col min="3067" max="3067" width="9.5703125" style="14" customWidth="1"/>
    <col min="3068" max="3068" width="9.85546875" style="14" customWidth="1"/>
    <col min="3069" max="3069" width="9.140625" style="14"/>
    <col min="3070" max="3070" width="13.7109375" style="14" customWidth="1"/>
    <col min="3071" max="3071" width="14.140625" style="14" customWidth="1"/>
    <col min="3072" max="3072" width="15.5703125" style="14" customWidth="1"/>
    <col min="3073" max="3075" width="18" style="14" customWidth="1"/>
    <col min="3076" max="3076" width="15.85546875" style="14" customWidth="1"/>
    <col min="3077" max="3077" width="14" style="14" customWidth="1"/>
    <col min="3078" max="3081" width="15.28515625" style="14" customWidth="1"/>
    <col min="3082" max="3082" width="14.7109375" style="14" customWidth="1"/>
    <col min="3083" max="3085" width="15.28515625" style="14" customWidth="1"/>
    <col min="3086" max="3086" width="15.7109375" style="14" customWidth="1"/>
    <col min="3087" max="3089" width="15.28515625" style="14" customWidth="1"/>
    <col min="3090" max="3316" width="9.140625" style="14"/>
    <col min="3317" max="3317" width="20.7109375" style="14" customWidth="1"/>
    <col min="3318" max="3318" width="14.5703125" style="14" customWidth="1"/>
    <col min="3319" max="3319" width="14.140625" style="14" customWidth="1"/>
    <col min="3320" max="3320" width="13.28515625" style="14" customWidth="1"/>
    <col min="3321" max="3321" width="13.5703125" style="14" customWidth="1"/>
    <col min="3322" max="3322" width="9.7109375" style="14" customWidth="1"/>
    <col min="3323" max="3323" width="9.5703125" style="14" customWidth="1"/>
    <col min="3324" max="3324" width="9.85546875" style="14" customWidth="1"/>
    <col min="3325" max="3325" width="9.140625" style="14"/>
    <col min="3326" max="3326" width="13.7109375" style="14" customWidth="1"/>
    <col min="3327" max="3327" width="14.140625" style="14" customWidth="1"/>
    <col min="3328" max="3328" width="15.5703125" style="14" customWidth="1"/>
    <col min="3329" max="3331" width="18" style="14" customWidth="1"/>
    <col min="3332" max="3332" width="15.85546875" style="14" customWidth="1"/>
    <col min="3333" max="3333" width="14" style="14" customWidth="1"/>
    <col min="3334" max="3337" width="15.28515625" style="14" customWidth="1"/>
    <col min="3338" max="3338" width="14.7109375" style="14" customWidth="1"/>
    <col min="3339" max="3341" width="15.28515625" style="14" customWidth="1"/>
    <col min="3342" max="3342" width="15.7109375" style="14" customWidth="1"/>
    <col min="3343" max="3345" width="15.28515625" style="14" customWidth="1"/>
    <col min="3346" max="3572" width="9.140625" style="14"/>
    <col min="3573" max="3573" width="20.7109375" style="14" customWidth="1"/>
    <col min="3574" max="3574" width="14.5703125" style="14" customWidth="1"/>
    <col min="3575" max="3575" width="14.140625" style="14" customWidth="1"/>
    <col min="3576" max="3576" width="13.28515625" style="14" customWidth="1"/>
    <col min="3577" max="3577" width="13.5703125" style="14" customWidth="1"/>
    <col min="3578" max="3578" width="9.7109375" style="14" customWidth="1"/>
    <col min="3579" max="3579" width="9.5703125" style="14" customWidth="1"/>
    <col min="3580" max="3580" width="9.85546875" style="14" customWidth="1"/>
    <col min="3581" max="3581" width="9.140625" style="14"/>
    <col min="3582" max="3582" width="13.7109375" style="14" customWidth="1"/>
    <col min="3583" max="3583" width="14.140625" style="14" customWidth="1"/>
    <col min="3584" max="3584" width="15.5703125" style="14" customWidth="1"/>
    <col min="3585" max="3587" width="18" style="14" customWidth="1"/>
    <col min="3588" max="3588" width="15.85546875" style="14" customWidth="1"/>
    <col min="3589" max="3589" width="14" style="14" customWidth="1"/>
    <col min="3590" max="3593" width="15.28515625" style="14" customWidth="1"/>
    <col min="3594" max="3594" width="14.7109375" style="14" customWidth="1"/>
    <col min="3595" max="3597" width="15.28515625" style="14" customWidth="1"/>
    <col min="3598" max="3598" width="15.7109375" style="14" customWidth="1"/>
    <col min="3599" max="3601" width="15.28515625" style="14" customWidth="1"/>
    <col min="3602" max="3828" width="9.140625" style="14"/>
    <col min="3829" max="3829" width="20.7109375" style="14" customWidth="1"/>
    <col min="3830" max="3830" width="14.5703125" style="14" customWidth="1"/>
    <col min="3831" max="3831" width="14.140625" style="14" customWidth="1"/>
    <col min="3832" max="3832" width="13.28515625" style="14" customWidth="1"/>
    <col min="3833" max="3833" width="13.5703125" style="14" customWidth="1"/>
    <col min="3834" max="3834" width="9.7109375" style="14" customWidth="1"/>
    <col min="3835" max="3835" width="9.5703125" style="14" customWidth="1"/>
    <col min="3836" max="3836" width="9.85546875" style="14" customWidth="1"/>
    <col min="3837" max="3837" width="9.140625" style="14"/>
    <col min="3838" max="3838" width="13.7109375" style="14" customWidth="1"/>
    <col min="3839" max="3839" width="14.140625" style="14" customWidth="1"/>
    <col min="3840" max="3840" width="15.5703125" style="14" customWidth="1"/>
    <col min="3841" max="3843" width="18" style="14" customWidth="1"/>
    <col min="3844" max="3844" width="15.85546875" style="14" customWidth="1"/>
    <col min="3845" max="3845" width="14" style="14" customWidth="1"/>
    <col min="3846" max="3849" width="15.28515625" style="14" customWidth="1"/>
    <col min="3850" max="3850" width="14.7109375" style="14" customWidth="1"/>
    <col min="3851" max="3853" width="15.28515625" style="14" customWidth="1"/>
    <col min="3854" max="3854" width="15.7109375" style="14" customWidth="1"/>
    <col min="3855" max="3857" width="15.28515625" style="14" customWidth="1"/>
    <col min="3858" max="4084" width="9.140625" style="14"/>
    <col min="4085" max="4085" width="20.7109375" style="14" customWidth="1"/>
    <col min="4086" max="4086" width="14.5703125" style="14" customWidth="1"/>
    <col min="4087" max="4087" width="14.140625" style="14" customWidth="1"/>
    <col min="4088" max="4088" width="13.28515625" style="14" customWidth="1"/>
    <col min="4089" max="4089" width="13.5703125" style="14" customWidth="1"/>
    <col min="4090" max="4090" width="9.7109375" style="14" customWidth="1"/>
    <col min="4091" max="4091" width="9.5703125" style="14" customWidth="1"/>
    <col min="4092" max="4092" width="9.85546875" style="14" customWidth="1"/>
    <col min="4093" max="4093" width="9.140625" style="14"/>
    <col min="4094" max="4094" width="13.7109375" style="14" customWidth="1"/>
    <col min="4095" max="4095" width="14.140625" style="14" customWidth="1"/>
    <col min="4096" max="4096" width="15.5703125" style="14" customWidth="1"/>
    <col min="4097" max="4099" width="18" style="14" customWidth="1"/>
    <col min="4100" max="4100" width="15.85546875" style="14" customWidth="1"/>
    <col min="4101" max="4101" width="14" style="14" customWidth="1"/>
    <col min="4102" max="4105" width="15.28515625" style="14" customWidth="1"/>
    <col min="4106" max="4106" width="14.7109375" style="14" customWidth="1"/>
    <col min="4107" max="4109" width="15.28515625" style="14" customWidth="1"/>
    <col min="4110" max="4110" width="15.7109375" style="14" customWidth="1"/>
    <col min="4111" max="4113" width="15.28515625" style="14" customWidth="1"/>
    <col min="4114" max="4340" width="9.140625" style="14"/>
    <col min="4341" max="4341" width="20.7109375" style="14" customWidth="1"/>
    <col min="4342" max="4342" width="14.5703125" style="14" customWidth="1"/>
    <col min="4343" max="4343" width="14.140625" style="14" customWidth="1"/>
    <col min="4344" max="4344" width="13.28515625" style="14" customWidth="1"/>
    <col min="4345" max="4345" width="13.5703125" style="14" customWidth="1"/>
    <col min="4346" max="4346" width="9.7109375" style="14" customWidth="1"/>
    <col min="4347" max="4347" width="9.5703125" style="14" customWidth="1"/>
    <col min="4348" max="4348" width="9.85546875" style="14" customWidth="1"/>
    <col min="4349" max="4349" width="9.140625" style="14"/>
    <col min="4350" max="4350" width="13.7109375" style="14" customWidth="1"/>
    <col min="4351" max="4351" width="14.140625" style="14" customWidth="1"/>
    <col min="4352" max="4352" width="15.5703125" style="14" customWidth="1"/>
    <col min="4353" max="4355" width="18" style="14" customWidth="1"/>
    <col min="4356" max="4356" width="15.85546875" style="14" customWidth="1"/>
    <col min="4357" max="4357" width="14" style="14" customWidth="1"/>
    <col min="4358" max="4361" width="15.28515625" style="14" customWidth="1"/>
    <col min="4362" max="4362" width="14.7109375" style="14" customWidth="1"/>
    <col min="4363" max="4365" width="15.28515625" style="14" customWidth="1"/>
    <col min="4366" max="4366" width="15.7109375" style="14" customWidth="1"/>
    <col min="4367" max="4369" width="15.28515625" style="14" customWidth="1"/>
    <col min="4370" max="4596" width="9.140625" style="14"/>
    <col min="4597" max="4597" width="20.7109375" style="14" customWidth="1"/>
    <col min="4598" max="4598" width="14.5703125" style="14" customWidth="1"/>
    <col min="4599" max="4599" width="14.140625" style="14" customWidth="1"/>
    <col min="4600" max="4600" width="13.28515625" style="14" customWidth="1"/>
    <col min="4601" max="4601" width="13.5703125" style="14" customWidth="1"/>
    <col min="4602" max="4602" width="9.7109375" style="14" customWidth="1"/>
    <col min="4603" max="4603" width="9.5703125" style="14" customWidth="1"/>
    <col min="4604" max="4604" width="9.85546875" style="14" customWidth="1"/>
    <col min="4605" max="4605" width="9.140625" style="14"/>
    <col min="4606" max="4606" width="13.7109375" style="14" customWidth="1"/>
    <col min="4607" max="4607" width="14.140625" style="14" customWidth="1"/>
    <col min="4608" max="4608" width="15.5703125" style="14" customWidth="1"/>
    <col min="4609" max="4611" width="18" style="14" customWidth="1"/>
    <col min="4612" max="4612" width="15.85546875" style="14" customWidth="1"/>
    <col min="4613" max="4613" width="14" style="14" customWidth="1"/>
    <col min="4614" max="4617" width="15.28515625" style="14" customWidth="1"/>
    <col min="4618" max="4618" width="14.7109375" style="14" customWidth="1"/>
    <col min="4619" max="4621" width="15.28515625" style="14" customWidth="1"/>
    <col min="4622" max="4622" width="15.7109375" style="14" customWidth="1"/>
    <col min="4623" max="4625" width="15.28515625" style="14" customWidth="1"/>
    <col min="4626" max="4852" width="9.140625" style="14"/>
    <col min="4853" max="4853" width="20.7109375" style="14" customWidth="1"/>
    <col min="4854" max="4854" width="14.5703125" style="14" customWidth="1"/>
    <col min="4855" max="4855" width="14.140625" style="14" customWidth="1"/>
    <col min="4856" max="4856" width="13.28515625" style="14" customWidth="1"/>
    <col min="4857" max="4857" width="13.5703125" style="14" customWidth="1"/>
    <col min="4858" max="4858" width="9.7109375" style="14" customWidth="1"/>
    <col min="4859" max="4859" width="9.5703125" style="14" customWidth="1"/>
    <col min="4860" max="4860" width="9.85546875" style="14" customWidth="1"/>
    <col min="4861" max="4861" width="9.140625" style="14"/>
    <col min="4862" max="4862" width="13.7109375" style="14" customWidth="1"/>
    <col min="4863" max="4863" width="14.140625" style="14" customWidth="1"/>
    <col min="4864" max="4864" width="15.5703125" style="14" customWidth="1"/>
    <col min="4865" max="4867" width="18" style="14" customWidth="1"/>
    <col min="4868" max="4868" width="15.85546875" style="14" customWidth="1"/>
    <col min="4869" max="4869" width="14" style="14" customWidth="1"/>
    <col min="4870" max="4873" width="15.28515625" style="14" customWidth="1"/>
    <col min="4874" max="4874" width="14.7109375" style="14" customWidth="1"/>
    <col min="4875" max="4877" width="15.28515625" style="14" customWidth="1"/>
    <col min="4878" max="4878" width="15.7109375" style="14" customWidth="1"/>
    <col min="4879" max="4881" width="15.28515625" style="14" customWidth="1"/>
    <col min="4882" max="5108" width="9.140625" style="14"/>
    <col min="5109" max="5109" width="20.7109375" style="14" customWidth="1"/>
    <col min="5110" max="5110" width="14.5703125" style="14" customWidth="1"/>
    <col min="5111" max="5111" width="14.140625" style="14" customWidth="1"/>
    <col min="5112" max="5112" width="13.28515625" style="14" customWidth="1"/>
    <col min="5113" max="5113" width="13.5703125" style="14" customWidth="1"/>
    <col min="5114" max="5114" width="9.7109375" style="14" customWidth="1"/>
    <col min="5115" max="5115" width="9.5703125" style="14" customWidth="1"/>
    <col min="5116" max="5116" width="9.85546875" style="14" customWidth="1"/>
    <col min="5117" max="5117" width="9.140625" style="14"/>
    <col min="5118" max="5118" width="13.7109375" style="14" customWidth="1"/>
    <col min="5119" max="5119" width="14.140625" style="14" customWidth="1"/>
    <col min="5120" max="5120" width="15.5703125" style="14" customWidth="1"/>
    <col min="5121" max="5123" width="18" style="14" customWidth="1"/>
    <col min="5124" max="5124" width="15.85546875" style="14" customWidth="1"/>
    <col min="5125" max="5125" width="14" style="14" customWidth="1"/>
    <col min="5126" max="5129" width="15.28515625" style="14" customWidth="1"/>
    <col min="5130" max="5130" width="14.7109375" style="14" customWidth="1"/>
    <col min="5131" max="5133" width="15.28515625" style="14" customWidth="1"/>
    <col min="5134" max="5134" width="15.7109375" style="14" customWidth="1"/>
    <col min="5135" max="5137" width="15.28515625" style="14" customWidth="1"/>
    <col min="5138" max="5364" width="9.140625" style="14"/>
    <col min="5365" max="5365" width="20.7109375" style="14" customWidth="1"/>
    <col min="5366" max="5366" width="14.5703125" style="14" customWidth="1"/>
    <col min="5367" max="5367" width="14.140625" style="14" customWidth="1"/>
    <col min="5368" max="5368" width="13.28515625" style="14" customWidth="1"/>
    <col min="5369" max="5369" width="13.5703125" style="14" customWidth="1"/>
    <col min="5370" max="5370" width="9.7109375" style="14" customWidth="1"/>
    <col min="5371" max="5371" width="9.5703125" style="14" customWidth="1"/>
    <col min="5372" max="5372" width="9.85546875" style="14" customWidth="1"/>
    <col min="5373" max="5373" width="9.140625" style="14"/>
    <col min="5374" max="5374" width="13.7109375" style="14" customWidth="1"/>
    <col min="5375" max="5375" width="14.140625" style="14" customWidth="1"/>
    <col min="5376" max="5376" width="15.5703125" style="14" customWidth="1"/>
    <col min="5377" max="5379" width="18" style="14" customWidth="1"/>
    <col min="5380" max="5380" width="15.85546875" style="14" customWidth="1"/>
    <col min="5381" max="5381" width="14" style="14" customWidth="1"/>
    <col min="5382" max="5385" width="15.28515625" style="14" customWidth="1"/>
    <col min="5386" max="5386" width="14.7109375" style="14" customWidth="1"/>
    <col min="5387" max="5389" width="15.28515625" style="14" customWidth="1"/>
    <col min="5390" max="5390" width="15.7109375" style="14" customWidth="1"/>
    <col min="5391" max="5393" width="15.28515625" style="14" customWidth="1"/>
    <col min="5394" max="5620" width="9.140625" style="14"/>
    <col min="5621" max="5621" width="20.7109375" style="14" customWidth="1"/>
    <col min="5622" max="5622" width="14.5703125" style="14" customWidth="1"/>
    <col min="5623" max="5623" width="14.140625" style="14" customWidth="1"/>
    <col min="5624" max="5624" width="13.28515625" style="14" customWidth="1"/>
    <col min="5625" max="5625" width="13.5703125" style="14" customWidth="1"/>
    <col min="5626" max="5626" width="9.7109375" style="14" customWidth="1"/>
    <col min="5627" max="5627" width="9.5703125" style="14" customWidth="1"/>
    <col min="5628" max="5628" width="9.85546875" style="14" customWidth="1"/>
    <col min="5629" max="5629" width="9.140625" style="14"/>
    <col min="5630" max="5630" width="13.7109375" style="14" customWidth="1"/>
    <col min="5631" max="5631" width="14.140625" style="14" customWidth="1"/>
    <col min="5632" max="5632" width="15.5703125" style="14" customWidth="1"/>
    <col min="5633" max="5635" width="18" style="14" customWidth="1"/>
    <col min="5636" max="5636" width="15.85546875" style="14" customWidth="1"/>
    <col min="5637" max="5637" width="14" style="14" customWidth="1"/>
    <col min="5638" max="5641" width="15.28515625" style="14" customWidth="1"/>
    <col min="5642" max="5642" width="14.7109375" style="14" customWidth="1"/>
    <col min="5643" max="5645" width="15.28515625" style="14" customWidth="1"/>
    <col min="5646" max="5646" width="15.7109375" style="14" customWidth="1"/>
    <col min="5647" max="5649" width="15.28515625" style="14" customWidth="1"/>
    <col min="5650" max="5876" width="9.140625" style="14"/>
    <col min="5877" max="5877" width="20.7109375" style="14" customWidth="1"/>
    <col min="5878" max="5878" width="14.5703125" style="14" customWidth="1"/>
    <col min="5879" max="5879" width="14.140625" style="14" customWidth="1"/>
    <col min="5880" max="5880" width="13.28515625" style="14" customWidth="1"/>
    <col min="5881" max="5881" width="13.5703125" style="14" customWidth="1"/>
    <col min="5882" max="5882" width="9.7109375" style="14" customWidth="1"/>
    <col min="5883" max="5883" width="9.5703125" style="14" customWidth="1"/>
    <col min="5884" max="5884" width="9.85546875" style="14" customWidth="1"/>
    <col min="5885" max="5885" width="9.140625" style="14"/>
    <col min="5886" max="5886" width="13.7109375" style="14" customWidth="1"/>
    <col min="5887" max="5887" width="14.140625" style="14" customWidth="1"/>
    <col min="5888" max="5888" width="15.5703125" style="14" customWidth="1"/>
    <col min="5889" max="5891" width="18" style="14" customWidth="1"/>
    <col min="5892" max="5892" width="15.85546875" style="14" customWidth="1"/>
    <col min="5893" max="5893" width="14" style="14" customWidth="1"/>
    <col min="5894" max="5897" width="15.28515625" style="14" customWidth="1"/>
    <col min="5898" max="5898" width="14.7109375" style="14" customWidth="1"/>
    <col min="5899" max="5901" width="15.28515625" style="14" customWidth="1"/>
    <col min="5902" max="5902" width="15.7109375" style="14" customWidth="1"/>
    <col min="5903" max="5905" width="15.28515625" style="14" customWidth="1"/>
    <col min="5906" max="6132" width="9.140625" style="14"/>
    <col min="6133" max="6133" width="20.7109375" style="14" customWidth="1"/>
    <col min="6134" max="6134" width="14.5703125" style="14" customWidth="1"/>
    <col min="6135" max="6135" width="14.140625" style="14" customWidth="1"/>
    <col min="6136" max="6136" width="13.28515625" style="14" customWidth="1"/>
    <col min="6137" max="6137" width="13.5703125" style="14" customWidth="1"/>
    <col min="6138" max="6138" width="9.7109375" style="14" customWidth="1"/>
    <col min="6139" max="6139" width="9.5703125" style="14" customWidth="1"/>
    <col min="6140" max="6140" width="9.85546875" style="14" customWidth="1"/>
    <col min="6141" max="6141" width="9.140625" style="14"/>
    <col min="6142" max="6142" width="13.7109375" style="14" customWidth="1"/>
    <col min="6143" max="6143" width="14.140625" style="14" customWidth="1"/>
    <col min="6144" max="6144" width="15.5703125" style="14" customWidth="1"/>
    <col min="6145" max="6147" width="18" style="14" customWidth="1"/>
    <col min="6148" max="6148" width="15.85546875" style="14" customWidth="1"/>
    <col min="6149" max="6149" width="14" style="14" customWidth="1"/>
    <col min="6150" max="6153" width="15.28515625" style="14" customWidth="1"/>
    <col min="6154" max="6154" width="14.7109375" style="14" customWidth="1"/>
    <col min="6155" max="6157" width="15.28515625" style="14" customWidth="1"/>
    <col min="6158" max="6158" width="15.7109375" style="14" customWidth="1"/>
    <col min="6159" max="6161" width="15.28515625" style="14" customWidth="1"/>
    <col min="6162" max="6388" width="9.140625" style="14"/>
    <col min="6389" max="6389" width="20.7109375" style="14" customWidth="1"/>
    <col min="6390" max="6390" width="14.5703125" style="14" customWidth="1"/>
    <col min="6391" max="6391" width="14.140625" style="14" customWidth="1"/>
    <col min="6392" max="6392" width="13.28515625" style="14" customWidth="1"/>
    <col min="6393" max="6393" width="13.5703125" style="14" customWidth="1"/>
    <col min="6394" max="6394" width="9.7109375" style="14" customWidth="1"/>
    <col min="6395" max="6395" width="9.5703125" style="14" customWidth="1"/>
    <col min="6396" max="6396" width="9.85546875" style="14" customWidth="1"/>
    <col min="6397" max="6397" width="9.140625" style="14"/>
    <col min="6398" max="6398" width="13.7109375" style="14" customWidth="1"/>
    <col min="6399" max="6399" width="14.140625" style="14" customWidth="1"/>
    <col min="6400" max="6400" width="15.5703125" style="14" customWidth="1"/>
    <col min="6401" max="6403" width="18" style="14" customWidth="1"/>
    <col min="6404" max="6404" width="15.85546875" style="14" customWidth="1"/>
    <col min="6405" max="6405" width="14" style="14" customWidth="1"/>
    <col min="6406" max="6409" width="15.28515625" style="14" customWidth="1"/>
    <col min="6410" max="6410" width="14.7109375" style="14" customWidth="1"/>
    <col min="6411" max="6413" width="15.28515625" style="14" customWidth="1"/>
    <col min="6414" max="6414" width="15.7109375" style="14" customWidth="1"/>
    <col min="6415" max="6417" width="15.28515625" style="14" customWidth="1"/>
    <col min="6418" max="6644" width="9.140625" style="14"/>
    <col min="6645" max="6645" width="20.7109375" style="14" customWidth="1"/>
    <col min="6646" max="6646" width="14.5703125" style="14" customWidth="1"/>
    <col min="6647" max="6647" width="14.140625" style="14" customWidth="1"/>
    <col min="6648" max="6648" width="13.28515625" style="14" customWidth="1"/>
    <col min="6649" max="6649" width="13.5703125" style="14" customWidth="1"/>
    <col min="6650" max="6650" width="9.7109375" style="14" customWidth="1"/>
    <col min="6651" max="6651" width="9.5703125" style="14" customWidth="1"/>
    <col min="6652" max="6652" width="9.85546875" style="14" customWidth="1"/>
    <col min="6653" max="6653" width="9.140625" style="14"/>
    <col min="6654" max="6654" width="13.7109375" style="14" customWidth="1"/>
    <col min="6655" max="6655" width="14.140625" style="14" customWidth="1"/>
    <col min="6656" max="6656" width="15.5703125" style="14" customWidth="1"/>
    <col min="6657" max="6659" width="18" style="14" customWidth="1"/>
    <col min="6660" max="6660" width="15.85546875" style="14" customWidth="1"/>
    <col min="6661" max="6661" width="14" style="14" customWidth="1"/>
    <col min="6662" max="6665" width="15.28515625" style="14" customWidth="1"/>
    <col min="6666" max="6666" width="14.7109375" style="14" customWidth="1"/>
    <col min="6667" max="6669" width="15.28515625" style="14" customWidth="1"/>
    <col min="6670" max="6670" width="15.7109375" style="14" customWidth="1"/>
    <col min="6671" max="6673" width="15.28515625" style="14" customWidth="1"/>
    <col min="6674" max="6900" width="9.140625" style="14"/>
    <col min="6901" max="6901" width="20.7109375" style="14" customWidth="1"/>
    <col min="6902" max="6902" width="14.5703125" style="14" customWidth="1"/>
    <col min="6903" max="6903" width="14.140625" style="14" customWidth="1"/>
    <col min="6904" max="6904" width="13.28515625" style="14" customWidth="1"/>
    <col min="6905" max="6905" width="13.5703125" style="14" customWidth="1"/>
    <col min="6906" max="6906" width="9.7109375" style="14" customWidth="1"/>
    <col min="6907" max="6907" width="9.5703125" style="14" customWidth="1"/>
    <col min="6908" max="6908" width="9.85546875" style="14" customWidth="1"/>
    <col min="6909" max="6909" width="9.140625" style="14"/>
    <col min="6910" max="6910" width="13.7109375" style="14" customWidth="1"/>
    <col min="6911" max="6911" width="14.140625" style="14" customWidth="1"/>
    <col min="6912" max="6912" width="15.5703125" style="14" customWidth="1"/>
    <col min="6913" max="6915" width="18" style="14" customWidth="1"/>
    <col min="6916" max="6916" width="15.85546875" style="14" customWidth="1"/>
    <col min="6917" max="6917" width="14" style="14" customWidth="1"/>
    <col min="6918" max="6921" width="15.28515625" style="14" customWidth="1"/>
    <col min="6922" max="6922" width="14.7109375" style="14" customWidth="1"/>
    <col min="6923" max="6925" width="15.28515625" style="14" customWidth="1"/>
    <col min="6926" max="6926" width="15.7109375" style="14" customWidth="1"/>
    <col min="6927" max="6929" width="15.28515625" style="14" customWidth="1"/>
    <col min="6930" max="7156" width="9.140625" style="14"/>
    <col min="7157" max="7157" width="20.7109375" style="14" customWidth="1"/>
    <col min="7158" max="7158" width="14.5703125" style="14" customWidth="1"/>
    <col min="7159" max="7159" width="14.140625" style="14" customWidth="1"/>
    <col min="7160" max="7160" width="13.28515625" style="14" customWidth="1"/>
    <col min="7161" max="7161" width="13.5703125" style="14" customWidth="1"/>
    <col min="7162" max="7162" width="9.7109375" style="14" customWidth="1"/>
    <col min="7163" max="7163" width="9.5703125" style="14" customWidth="1"/>
    <col min="7164" max="7164" width="9.85546875" style="14" customWidth="1"/>
    <col min="7165" max="7165" width="9.140625" style="14"/>
    <col min="7166" max="7166" width="13.7109375" style="14" customWidth="1"/>
    <col min="7167" max="7167" width="14.140625" style="14" customWidth="1"/>
    <col min="7168" max="7168" width="15.5703125" style="14" customWidth="1"/>
    <col min="7169" max="7171" width="18" style="14" customWidth="1"/>
    <col min="7172" max="7172" width="15.85546875" style="14" customWidth="1"/>
    <col min="7173" max="7173" width="14" style="14" customWidth="1"/>
    <col min="7174" max="7177" width="15.28515625" style="14" customWidth="1"/>
    <col min="7178" max="7178" width="14.7109375" style="14" customWidth="1"/>
    <col min="7179" max="7181" width="15.28515625" style="14" customWidth="1"/>
    <col min="7182" max="7182" width="15.7109375" style="14" customWidth="1"/>
    <col min="7183" max="7185" width="15.28515625" style="14" customWidth="1"/>
    <col min="7186" max="7412" width="9.140625" style="14"/>
    <col min="7413" max="7413" width="20.7109375" style="14" customWidth="1"/>
    <col min="7414" max="7414" width="14.5703125" style="14" customWidth="1"/>
    <col min="7415" max="7415" width="14.140625" style="14" customWidth="1"/>
    <col min="7416" max="7416" width="13.28515625" style="14" customWidth="1"/>
    <col min="7417" max="7417" width="13.5703125" style="14" customWidth="1"/>
    <col min="7418" max="7418" width="9.7109375" style="14" customWidth="1"/>
    <col min="7419" max="7419" width="9.5703125" style="14" customWidth="1"/>
    <col min="7420" max="7420" width="9.85546875" style="14" customWidth="1"/>
    <col min="7421" max="7421" width="9.140625" style="14"/>
    <col min="7422" max="7422" width="13.7109375" style="14" customWidth="1"/>
    <col min="7423" max="7423" width="14.140625" style="14" customWidth="1"/>
    <col min="7424" max="7424" width="15.5703125" style="14" customWidth="1"/>
    <col min="7425" max="7427" width="18" style="14" customWidth="1"/>
    <col min="7428" max="7428" width="15.85546875" style="14" customWidth="1"/>
    <col min="7429" max="7429" width="14" style="14" customWidth="1"/>
    <col min="7430" max="7433" width="15.28515625" style="14" customWidth="1"/>
    <col min="7434" max="7434" width="14.7109375" style="14" customWidth="1"/>
    <col min="7435" max="7437" width="15.28515625" style="14" customWidth="1"/>
    <col min="7438" max="7438" width="15.7109375" style="14" customWidth="1"/>
    <col min="7439" max="7441" width="15.28515625" style="14" customWidth="1"/>
    <col min="7442" max="7668" width="9.140625" style="14"/>
    <col min="7669" max="7669" width="20.7109375" style="14" customWidth="1"/>
    <col min="7670" max="7670" width="14.5703125" style="14" customWidth="1"/>
    <col min="7671" max="7671" width="14.140625" style="14" customWidth="1"/>
    <col min="7672" max="7672" width="13.28515625" style="14" customWidth="1"/>
    <col min="7673" max="7673" width="13.5703125" style="14" customWidth="1"/>
    <col min="7674" max="7674" width="9.7109375" style="14" customWidth="1"/>
    <col min="7675" max="7675" width="9.5703125" style="14" customWidth="1"/>
    <col min="7676" max="7676" width="9.85546875" style="14" customWidth="1"/>
    <col min="7677" max="7677" width="9.140625" style="14"/>
    <col min="7678" max="7678" width="13.7109375" style="14" customWidth="1"/>
    <col min="7679" max="7679" width="14.140625" style="14" customWidth="1"/>
    <col min="7680" max="7680" width="15.5703125" style="14" customWidth="1"/>
    <col min="7681" max="7683" width="18" style="14" customWidth="1"/>
    <col min="7684" max="7684" width="15.85546875" style="14" customWidth="1"/>
    <col min="7685" max="7685" width="14" style="14" customWidth="1"/>
    <col min="7686" max="7689" width="15.28515625" style="14" customWidth="1"/>
    <col min="7690" max="7690" width="14.7109375" style="14" customWidth="1"/>
    <col min="7691" max="7693" width="15.28515625" style="14" customWidth="1"/>
    <col min="7694" max="7694" width="15.7109375" style="14" customWidth="1"/>
    <col min="7695" max="7697" width="15.28515625" style="14" customWidth="1"/>
    <col min="7698" max="7924" width="9.140625" style="14"/>
    <col min="7925" max="7925" width="20.7109375" style="14" customWidth="1"/>
    <col min="7926" max="7926" width="14.5703125" style="14" customWidth="1"/>
    <col min="7927" max="7927" width="14.140625" style="14" customWidth="1"/>
    <col min="7928" max="7928" width="13.28515625" style="14" customWidth="1"/>
    <col min="7929" max="7929" width="13.5703125" style="14" customWidth="1"/>
    <col min="7930" max="7930" width="9.7109375" style="14" customWidth="1"/>
    <col min="7931" max="7931" width="9.5703125" style="14" customWidth="1"/>
    <col min="7932" max="7932" width="9.85546875" style="14" customWidth="1"/>
    <col min="7933" max="7933" width="9.140625" style="14"/>
    <col min="7934" max="7934" width="13.7109375" style="14" customWidth="1"/>
    <col min="7935" max="7935" width="14.140625" style="14" customWidth="1"/>
    <col min="7936" max="7936" width="15.5703125" style="14" customWidth="1"/>
    <col min="7937" max="7939" width="18" style="14" customWidth="1"/>
    <col min="7940" max="7940" width="15.85546875" style="14" customWidth="1"/>
    <col min="7941" max="7941" width="14" style="14" customWidth="1"/>
    <col min="7942" max="7945" width="15.28515625" style="14" customWidth="1"/>
    <col min="7946" max="7946" width="14.7109375" style="14" customWidth="1"/>
    <col min="7947" max="7949" width="15.28515625" style="14" customWidth="1"/>
    <col min="7950" max="7950" width="15.7109375" style="14" customWidth="1"/>
    <col min="7951" max="7953" width="15.28515625" style="14" customWidth="1"/>
    <col min="7954" max="8180" width="9.140625" style="14"/>
    <col min="8181" max="8181" width="20.7109375" style="14" customWidth="1"/>
    <col min="8182" max="8182" width="14.5703125" style="14" customWidth="1"/>
    <col min="8183" max="8183" width="14.140625" style="14" customWidth="1"/>
    <col min="8184" max="8184" width="13.28515625" style="14" customWidth="1"/>
    <col min="8185" max="8185" width="13.5703125" style="14" customWidth="1"/>
    <col min="8186" max="8186" width="9.7109375" style="14" customWidth="1"/>
    <col min="8187" max="8187" width="9.5703125" style="14" customWidth="1"/>
    <col min="8188" max="8188" width="9.85546875" style="14" customWidth="1"/>
    <col min="8189" max="8189" width="9.140625" style="14"/>
    <col min="8190" max="8190" width="13.7109375" style="14" customWidth="1"/>
    <col min="8191" max="8191" width="14.140625" style="14" customWidth="1"/>
    <col min="8192" max="8192" width="15.5703125" style="14" customWidth="1"/>
    <col min="8193" max="8195" width="18" style="14" customWidth="1"/>
    <col min="8196" max="8196" width="15.85546875" style="14" customWidth="1"/>
    <col min="8197" max="8197" width="14" style="14" customWidth="1"/>
    <col min="8198" max="8201" width="15.28515625" style="14" customWidth="1"/>
    <col min="8202" max="8202" width="14.7109375" style="14" customWidth="1"/>
    <col min="8203" max="8205" width="15.28515625" style="14" customWidth="1"/>
    <col min="8206" max="8206" width="15.7109375" style="14" customWidth="1"/>
    <col min="8207" max="8209" width="15.28515625" style="14" customWidth="1"/>
    <col min="8210" max="8436" width="9.140625" style="14"/>
    <col min="8437" max="8437" width="20.7109375" style="14" customWidth="1"/>
    <col min="8438" max="8438" width="14.5703125" style="14" customWidth="1"/>
    <col min="8439" max="8439" width="14.140625" style="14" customWidth="1"/>
    <col min="8440" max="8440" width="13.28515625" style="14" customWidth="1"/>
    <col min="8441" max="8441" width="13.5703125" style="14" customWidth="1"/>
    <col min="8442" max="8442" width="9.7109375" style="14" customWidth="1"/>
    <col min="8443" max="8443" width="9.5703125" style="14" customWidth="1"/>
    <col min="8444" max="8444" width="9.85546875" style="14" customWidth="1"/>
    <col min="8445" max="8445" width="9.140625" style="14"/>
    <col min="8446" max="8446" width="13.7109375" style="14" customWidth="1"/>
    <col min="8447" max="8447" width="14.140625" style="14" customWidth="1"/>
    <col min="8448" max="8448" width="15.5703125" style="14" customWidth="1"/>
    <col min="8449" max="8451" width="18" style="14" customWidth="1"/>
    <col min="8452" max="8452" width="15.85546875" style="14" customWidth="1"/>
    <col min="8453" max="8453" width="14" style="14" customWidth="1"/>
    <col min="8454" max="8457" width="15.28515625" style="14" customWidth="1"/>
    <col min="8458" max="8458" width="14.7109375" style="14" customWidth="1"/>
    <col min="8459" max="8461" width="15.28515625" style="14" customWidth="1"/>
    <col min="8462" max="8462" width="15.7109375" style="14" customWidth="1"/>
    <col min="8463" max="8465" width="15.28515625" style="14" customWidth="1"/>
    <col min="8466" max="8692" width="9.140625" style="14"/>
    <col min="8693" max="8693" width="20.7109375" style="14" customWidth="1"/>
    <col min="8694" max="8694" width="14.5703125" style="14" customWidth="1"/>
    <col min="8695" max="8695" width="14.140625" style="14" customWidth="1"/>
    <col min="8696" max="8696" width="13.28515625" style="14" customWidth="1"/>
    <col min="8697" max="8697" width="13.5703125" style="14" customWidth="1"/>
    <col min="8698" max="8698" width="9.7109375" style="14" customWidth="1"/>
    <col min="8699" max="8699" width="9.5703125" style="14" customWidth="1"/>
    <col min="8700" max="8700" width="9.85546875" style="14" customWidth="1"/>
    <col min="8701" max="8701" width="9.140625" style="14"/>
    <col min="8702" max="8702" width="13.7109375" style="14" customWidth="1"/>
    <col min="8703" max="8703" width="14.140625" style="14" customWidth="1"/>
    <col min="8704" max="8704" width="15.5703125" style="14" customWidth="1"/>
    <col min="8705" max="8707" width="18" style="14" customWidth="1"/>
    <col min="8708" max="8708" width="15.85546875" style="14" customWidth="1"/>
    <col min="8709" max="8709" width="14" style="14" customWidth="1"/>
    <col min="8710" max="8713" width="15.28515625" style="14" customWidth="1"/>
    <col min="8714" max="8714" width="14.7109375" style="14" customWidth="1"/>
    <col min="8715" max="8717" width="15.28515625" style="14" customWidth="1"/>
    <col min="8718" max="8718" width="15.7109375" style="14" customWidth="1"/>
    <col min="8719" max="8721" width="15.28515625" style="14" customWidth="1"/>
    <col min="8722" max="8948" width="9.140625" style="14"/>
    <col min="8949" max="8949" width="20.7109375" style="14" customWidth="1"/>
    <col min="8950" max="8950" width="14.5703125" style="14" customWidth="1"/>
    <col min="8951" max="8951" width="14.140625" style="14" customWidth="1"/>
    <col min="8952" max="8952" width="13.28515625" style="14" customWidth="1"/>
    <col min="8953" max="8953" width="13.5703125" style="14" customWidth="1"/>
    <col min="8954" max="8954" width="9.7109375" style="14" customWidth="1"/>
    <col min="8955" max="8955" width="9.5703125" style="14" customWidth="1"/>
    <col min="8956" max="8956" width="9.85546875" style="14" customWidth="1"/>
    <col min="8957" max="8957" width="9.140625" style="14"/>
    <col min="8958" max="8958" width="13.7109375" style="14" customWidth="1"/>
    <col min="8959" max="8959" width="14.140625" style="14" customWidth="1"/>
    <col min="8960" max="8960" width="15.5703125" style="14" customWidth="1"/>
    <col min="8961" max="8963" width="18" style="14" customWidth="1"/>
    <col min="8964" max="8964" width="15.85546875" style="14" customWidth="1"/>
    <col min="8965" max="8965" width="14" style="14" customWidth="1"/>
    <col min="8966" max="8969" width="15.28515625" style="14" customWidth="1"/>
    <col min="8970" max="8970" width="14.7109375" style="14" customWidth="1"/>
    <col min="8971" max="8973" width="15.28515625" style="14" customWidth="1"/>
    <col min="8974" max="8974" width="15.7109375" style="14" customWidth="1"/>
    <col min="8975" max="8977" width="15.28515625" style="14" customWidth="1"/>
    <col min="8978" max="9204" width="9.140625" style="14"/>
    <col min="9205" max="9205" width="20.7109375" style="14" customWidth="1"/>
    <col min="9206" max="9206" width="14.5703125" style="14" customWidth="1"/>
    <col min="9207" max="9207" width="14.140625" style="14" customWidth="1"/>
    <col min="9208" max="9208" width="13.28515625" style="14" customWidth="1"/>
    <col min="9209" max="9209" width="13.5703125" style="14" customWidth="1"/>
    <col min="9210" max="9210" width="9.7109375" style="14" customWidth="1"/>
    <col min="9211" max="9211" width="9.5703125" style="14" customWidth="1"/>
    <col min="9212" max="9212" width="9.85546875" style="14" customWidth="1"/>
    <col min="9213" max="9213" width="9.140625" style="14"/>
    <col min="9214" max="9214" width="13.7109375" style="14" customWidth="1"/>
    <col min="9215" max="9215" width="14.140625" style="14" customWidth="1"/>
    <col min="9216" max="9216" width="15.5703125" style="14" customWidth="1"/>
    <col min="9217" max="9219" width="18" style="14" customWidth="1"/>
    <col min="9220" max="9220" width="15.85546875" style="14" customWidth="1"/>
    <col min="9221" max="9221" width="14" style="14" customWidth="1"/>
    <col min="9222" max="9225" width="15.28515625" style="14" customWidth="1"/>
    <col min="9226" max="9226" width="14.7109375" style="14" customWidth="1"/>
    <col min="9227" max="9229" width="15.28515625" style="14" customWidth="1"/>
    <col min="9230" max="9230" width="15.7109375" style="14" customWidth="1"/>
    <col min="9231" max="9233" width="15.28515625" style="14" customWidth="1"/>
    <col min="9234" max="9460" width="9.140625" style="14"/>
    <col min="9461" max="9461" width="20.7109375" style="14" customWidth="1"/>
    <col min="9462" max="9462" width="14.5703125" style="14" customWidth="1"/>
    <col min="9463" max="9463" width="14.140625" style="14" customWidth="1"/>
    <col min="9464" max="9464" width="13.28515625" style="14" customWidth="1"/>
    <col min="9465" max="9465" width="13.5703125" style="14" customWidth="1"/>
    <col min="9466" max="9466" width="9.7109375" style="14" customWidth="1"/>
    <col min="9467" max="9467" width="9.5703125" style="14" customWidth="1"/>
    <col min="9468" max="9468" width="9.85546875" style="14" customWidth="1"/>
    <col min="9469" max="9469" width="9.140625" style="14"/>
    <col min="9470" max="9470" width="13.7109375" style="14" customWidth="1"/>
    <col min="9471" max="9471" width="14.140625" style="14" customWidth="1"/>
    <col min="9472" max="9472" width="15.5703125" style="14" customWidth="1"/>
    <col min="9473" max="9475" width="18" style="14" customWidth="1"/>
    <col min="9476" max="9476" width="15.85546875" style="14" customWidth="1"/>
    <col min="9477" max="9477" width="14" style="14" customWidth="1"/>
    <col min="9478" max="9481" width="15.28515625" style="14" customWidth="1"/>
    <col min="9482" max="9482" width="14.7109375" style="14" customWidth="1"/>
    <col min="9483" max="9485" width="15.28515625" style="14" customWidth="1"/>
    <col min="9486" max="9486" width="15.7109375" style="14" customWidth="1"/>
    <col min="9487" max="9489" width="15.28515625" style="14" customWidth="1"/>
    <col min="9490" max="9716" width="9.140625" style="14"/>
    <col min="9717" max="9717" width="20.7109375" style="14" customWidth="1"/>
    <col min="9718" max="9718" width="14.5703125" style="14" customWidth="1"/>
    <col min="9719" max="9719" width="14.140625" style="14" customWidth="1"/>
    <col min="9720" max="9720" width="13.28515625" style="14" customWidth="1"/>
    <col min="9721" max="9721" width="13.5703125" style="14" customWidth="1"/>
    <col min="9722" max="9722" width="9.7109375" style="14" customWidth="1"/>
    <col min="9723" max="9723" width="9.5703125" style="14" customWidth="1"/>
    <col min="9724" max="9724" width="9.85546875" style="14" customWidth="1"/>
    <col min="9725" max="9725" width="9.140625" style="14"/>
    <col min="9726" max="9726" width="13.7109375" style="14" customWidth="1"/>
    <col min="9727" max="9727" width="14.140625" style="14" customWidth="1"/>
    <col min="9728" max="9728" width="15.5703125" style="14" customWidth="1"/>
    <col min="9729" max="9731" width="18" style="14" customWidth="1"/>
    <col min="9732" max="9732" width="15.85546875" style="14" customWidth="1"/>
    <col min="9733" max="9733" width="14" style="14" customWidth="1"/>
    <col min="9734" max="9737" width="15.28515625" style="14" customWidth="1"/>
    <col min="9738" max="9738" width="14.7109375" style="14" customWidth="1"/>
    <col min="9739" max="9741" width="15.28515625" style="14" customWidth="1"/>
    <col min="9742" max="9742" width="15.7109375" style="14" customWidth="1"/>
    <col min="9743" max="9745" width="15.28515625" style="14" customWidth="1"/>
    <col min="9746" max="9972" width="9.140625" style="14"/>
    <col min="9973" max="9973" width="20.7109375" style="14" customWidth="1"/>
    <col min="9974" max="9974" width="14.5703125" style="14" customWidth="1"/>
    <col min="9975" max="9975" width="14.140625" style="14" customWidth="1"/>
    <col min="9976" max="9976" width="13.28515625" style="14" customWidth="1"/>
    <col min="9977" max="9977" width="13.5703125" style="14" customWidth="1"/>
    <col min="9978" max="9978" width="9.7109375" style="14" customWidth="1"/>
    <col min="9979" max="9979" width="9.5703125" style="14" customWidth="1"/>
    <col min="9980" max="9980" width="9.85546875" style="14" customWidth="1"/>
    <col min="9981" max="9981" width="9.140625" style="14"/>
    <col min="9982" max="9982" width="13.7109375" style="14" customWidth="1"/>
    <col min="9983" max="9983" width="14.140625" style="14" customWidth="1"/>
    <col min="9984" max="9984" width="15.5703125" style="14" customWidth="1"/>
    <col min="9985" max="9987" width="18" style="14" customWidth="1"/>
    <col min="9988" max="9988" width="15.85546875" style="14" customWidth="1"/>
    <col min="9989" max="9989" width="14" style="14" customWidth="1"/>
    <col min="9990" max="9993" width="15.28515625" style="14" customWidth="1"/>
    <col min="9994" max="9994" width="14.7109375" style="14" customWidth="1"/>
    <col min="9995" max="9997" width="15.28515625" style="14" customWidth="1"/>
    <col min="9998" max="9998" width="15.7109375" style="14" customWidth="1"/>
    <col min="9999" max="10001" width="15.28515625" style="14" customWidth="1"/>
    <col min="10002" max="10228" width="9.140625" style="14"/>
    <col min="10229" max="10229" width="20.7109375" style="14" customWidth="1"/>
    <col min="10230" max="10230" width="14.5703125" style="14" customWidth="1"/>
    <col min="10231" max="10231" width="14.140625" style="14" customWidth="1"/>
    <col min="10232" max="10232" width="13.28515625" style="14" customWidth="1"/>
    <col min="10233" max="10233" width="13.5703125" style="14" customWidth="1"/>
    <col min="10234" max="10234" width="9.7109375" style="14" customWidth="1"/>
    <col min="10235" max="10235" width="9.5703125" style="14" customWidth="1"/>
    <col min="10236" max="10236" width="9.85546875" style="14" customWidth="1"/>
    <col min="10237" max="10237" width="9.140625" style="14"/>
    <col min="10238" max="10238" width="13.7109375" style="14" customWidth="1"/>
    <col min="10239" max="10239" width="14.140625" style="14" customWidth="1"/>
    <col min="10240" max="10240" width="15.5703125" style="14" customWidth="1"/>
    <col min="10241" max="10243" width="18" style="14" customWidth="1"/>
    <col min="10244" max="10244" width="15.85546875" style="14" customWidth="1"/>
    <col min="10245" max="10245" width="14" style="14" customWidth="1"/>
    <col min="10246" max="10249" width="15.28515625" style="14" customWidth="1"/>
    <col min="10250" max="10250" width="14.7109375" style="14" customWidth="1"/>
    <col min="10251" max="10253" width="15.28515625" style="14" customWidth="1"/>
    <col min="10254" max="10254" width="15.7109375" style="14" customWidth="1"/>
    <col min="10255" max="10257" width="15.28515625" style="14" customWidth="1"/>
    <col min="10258" max="10484" width="9.140625" style="14"/>
    <col min="10485" max="10485" width="20.7109375" style="14" customWidth="1"/>
    <col min="10486" max="10486" width="14.5703125" style="14" customWidth="1"/>
    <col min="10487" max="10487" width="14.140625" style="14" customWidth="1"/>
    <col min="10488" max="10488" width="13.28515625" style="14" customWidth="1"/>
    <col min="10489" max="10489" width="13.5703125" style="14" customWidth="1"/>
    <col min="10490" max="10490" width="9.7109375" style="14" customWidth="1"/>
    <col min="10491" max="10491" width="9.5703125" style="14" customWidth="1"/>
    <col min="10492" max="10492" width="9.85546875" style="14" customWidth="1"/>
    <col min="10493" max="10493" width="9.140625" style="14"/>
    <col min="10494" max="10494" width="13.7109375" style="14" customWidth="1"/>
    <col min="10495" max="10495" width="14.140625" style="14" customWidth="1"/>
    <col min="10496" max="10496" width="15.5703125" style="14" customWidth="1"/>
    <col min="10497" max="10499" width="18" style="14" customWidth="1"/>
    <col min="10500" max="10500" width="15.85546875" style="14" customWidth="1"/>
    <col min="10501" max="10501" width="14" style="14" customWidth="1"/>
    <col min="10502" max="10505" width="15.28515625" style="14" customWidth="1"/>
    <col min="10506" max="10506" width="14.7109375" style="14" customWidth="1"/>
    <col min="10507" max="10509" width="15.28515625" style="14" customWidth="1"/>
    <col min="10510" max="10510" width="15.7109375" style="14" customWidth="1"/>
    <col min="10511" max="10513" width="15.28515625" style="14" customWidth="1"/>
    <col min="10514" max="10740" width="9.140625" style="14"/>
    <col min="10741" max="10741" width="20.7109375" style="14" customWidth="1"/>
    <col min="10742" max="10742" width="14.5703125" style="14" customWidth="1"/>
    <col min="10743" max="10743" width="14.140625" style="14" customWidth="1"/>
    <col min="10744" max="10744" width="13.28515625" style="14" customWidth="1"/>
    <col min="10745" max="10745" width="13.5703125" style="14" customWidth="1"/>
    <col min="10746" max="10746" width="9.7109375" style="14" customWidth="1"/>
    <col min="10747" max="10747" width="9.5703125" style="14" customWidth="1"/>
    <col min="10748" max="10748" width="9.85546875" style="14" customWidth="1"/>
    <col min="10749" max="10749" width="9.140625" style="14"/>
    <col min="10750" max="10750" width="13.7109375" style="14" customWidth="1"/>
    <col min="10751" max="10751" width="14.140625" style="14" customWidth="1"/>
    <col min="10752" max="10752" width="15.5703125" style="14" customWidth="1"/>
    <col min="10753" max="10755" width="18" style="14" customWidth="1"/>
    <col min="10756" max="10756" width="15.85546875" style="14" customWidth="1"/>
    <col min="10757" max="10757" width="14" style="14" customWidth="1"/>
    <col min="10758" max="10761" width="15.28515625" style="14" customWidth="1"/>
    <col min="10762" max="10762" width="14.7109375" style="14" customWidth="1"/>
    <col min="10763" max="10765" width="15.28515625" style="14" customWidth="1"/>
    <col min="10766" max="10766" width="15.7109375" style="14" customWidth="1"/>
    <col min="10767" max="10769" width="15.28515625" style="14" customWidth="1"/>
    <col min="10770" max="10996" width="9.140625" style="14"/>
    <col min="10997" max="10997" width="20.7109375" style="14" customWidth="1"/>
    <col min="10998" max="10998" width="14.5703125" style="14" customWidth="1"/>
    <col min="10999" max="10999" width="14.140625" style="14" customWidth="1"/>
    <col min="11000" max="11000" width="13.28515625" style="14" customWidth="1"/>
    <col min="11001" max="11001" width="13.5703125" style="14" customWidth="1"/>
    <col min="11002" max="11002" width="9.7109375" style="14" customWidth="1"/>
    <col min="11003" max="11003" width="9.5703125" style="14" customWidth="1"/>
    <col min="11004" max="11004" width="9.85546875" style="14" customWidth="1"/>
    <col min="11005" max="11005" width="9.140625" style="14"/>
    <col min="11006" max="11006" width="13.7109375" style="14" customWidth="1"/>
    <col min="11007" max="11007" width="14.140625" style="14" customWidth="1"/>
    <col min="11008" max="11008" width="15.5703125" style="14" customWidth="1"/>
    <col min="11009" max="11011" width="18" style="14" customWidth="1"/>
    <col min="11012" max="11012" width="15.85546875" style="14" customWidth="1"/>
    <col min="11013" max="11013" width="14" style="14" customWidth="1"/>
    <col min="11014" max="11017" width="15.28515625" style="14" customWidth="1"/>
    <col min="11018" max="11018" width="14.7109375" style="14" customWidth="1"/>
    <col min="11019" max="11021" width="15.28515625" style="14" customWidth="1"/>
    <col min="11022" max="11022" width="15.7109375" style="14" customWidth="1"/>
    <col min="11023" max="11025" width="15.28515625" style="14" customWidth="1"/>
    <col min="11026" max="11252" width="9.140625" style="14"/>
    <col min="11253" max="11253" width="20.7109375" style="14" customWidth="1"/>
    <col min="11254" max="11254" width="14.5703125" style="14" customWidth="1"/>
    <col min="11255" max="11255" width="14.140625" style="14" customWidth="1"/>
    <col min="11256" max="11256" width="13.28515625" style="14" customWidth="1"/>
    <col min="11257" max="11257" width="13.5703125" style="14" customWidth="1"/>
    <col min="11258" max="11258" width="9.7109375" style="14" customWidth="1"/>
    <col min="11259" max="11259" width="9.5703125" style="14" customWidth="1"/>
    <col min="11260" max="11260" width="9.85546875" style="14" customWidth="1"/>
    <col min="11261" max="11261" width="9.140625" style="14"/>
    <col min="11262" max="11262" width="13.7109375" style="14" customWidth="1"/>
    <col min="11263" max="11263" width="14.140625" style="14" customWidth="1"/>
    <col min="11264" max="11264" width="15.5703125" style="14" customWidth="1"/>
    <col min="11265" max="11267" width="18" style="14" customWidth="1"/>
    <col min="11268" max="11268" width="15.85546875" style="14" customWidth="1"/>
    <col min="11269" max="11269" width="14" style="14" customWidth="1"/>
    <col min="11270" max="11273" width="15.28515625" style="14" customWidth="1"/>
    <col min="11274" max="11274" width="14.7109375" style="14" customWidth="1"/>
    <col min="11275" max="11277" width="15.28515625" style="14" customWidth="1"/>
    <col min="11278" max="11278" width="15.7109375" style="14" customWidth="1"/>
    <col min="11279" max="11281" width="15.28515625" style="14" customWidth="1"/>
    <col min="11282" max="11508" width="9.140625" style="14"/>
    <col min="11509" max="11509" width="20.7109375" style="14" customWidth="1"/>
    <col min="11510" max="11510" width="14.5703125" style="14" customWidth="1"/>
    <col min="11511" max="11511" width="14.140625" style="14" customWidth="1"/>
    <col min="11512" max="11512" width="13.28515625" style="14" customWidth="1"/>
    <col min="11513" max="11513" width="13.5703125" style="14" customWidth="1"/>
    <col min="11514" max="11514" width="9.7109375" style="14" customWidth="1"/>
    <col min="11515" max="11515" width="9.5703125" style="14" customWidth="1"/>
    <col min="11516" max="11516" width="9.85546875" style="14" customWidth="1"/>
    <col min="11517" max="11517" width="9.140625" style="14"/>
    <col min="11518" max="11518" width="13.7109375" style="14" customWidth="1"/>
    <col min="11519" max="11519" width="14.140625" style="14" customWidth="1"/>
    <col min="11520" max="11520" width="15.5703125" style="14" customWidth="1"/>
    <col min="11521" max="11523" width="18" style="14" customWidth="1"/>
    <col min="11524" max="11524" width="15.85546875" style="14" customWidth="1"/>
    <col min="11525" max="11525" width="14" style="14" customWidth="1"/>
    <col min="11526" max="11529" width="15.28515625" style="14" customWidth="1"/>
    <col min="11530" max="11530" width="14.7109375" style="14" customWidth="1"/>
    <col min="11531" max="11533" width="15.28515625" style="14" customWidth="1"/>
    <col min="11534" max="11534" width="15.7109375" style="14" customWidth="1"/>
    <col min="11535" max="11537" width="15.28515625" style="14" customWidth="1"/>
    <col min="11538" max="11764" width="9.140625" style="14"/>
    <col min="11765" max="11765" width="20.7109375" style="14" customWidth="1"/>
    <col min="11766" max="11766" width="14.5703125" style="14" customWidth="1"/>
    <col min="11767" max="11767" width="14.140625" style="14" customWidth="1"/>
    <col min="11768" max="11768" width="13.28515625" style="14" customWidth="1"/>
    <col min="11769" max="11769" width="13.5703125" style="14" customWidth="1"/>
    <col min="11770" max="11770" width="9.7109375" style="14" customWidth="1"/>
    <col min="11771" max="11771" width="9.5703125" style="14" customWidth="1"/>
    <col min="11772" max="11772" width="9.85546875" style="14" customWidth="1"/>
    <col min="11773" max="11773" width="9.140625" style="14"/>
    <col min="11774" max="11774" width="13.7109375" style="14" customWidth="1"/>
    <col min="11775" max="11775" width="14.140625" style="14" customWidth="1"/>
    <col min="11776" max="11776" width="15.5703125" style="14" customWidth="1"/>
    <col min="11777" max="11779" width="18" style="14" customWidth="1"/>
    <col min="11780" max="11780" width="15.85546875" style="14" customWidth="1"/>
    <col min="11781" max="11781" width="14" style="14" customWidth="1"/>
    <col min="11782" max="11785" width="15.28515625" style="14" customWidth="1"/>
    <col min="11786" max="11786" width="14.7109375" style="14" customWidth="1"/>
    <col min="11787" max="11789" width="15.28515625" style="14" customWidth="1"/>
    <col min="11790" max="11790" width="15.7109375" style="14" customWidth="1"/>
    <col min="11791" max="11793" width="15.28515625" style="14" customWidth="1"/>
    <col min="11794" max="12020" width="9.140625" style="14"/>
    <col min="12021" max="12021" width="20.7109375" style="14" customWidth="1"/>
    <col min="12022" max="12022" width="14.5703125" style="14" customWidth="1"/>
    <col min="12023" max="12023" width="14.140625" style="14" customWidth="1"/>
    <col min="12024" max="12024" width="13.28515625" style="14" customWidth="1"/>
    <col min="12025" max="12025" width="13.5703125" style="14" customWidth="1"/>
    <col min="12026" max="12026" width="9.7109375" style="14" customWidth="1"/>
    <col min="12027" max="12027" width="9.5703125" style="14" customWidth="1"/>
    <col min="12028" max="12028" width="9.85546875" style="14" customWidth="1"/>
    <col min="12029" max="12029" width="9.140625" style="14"/>
    <col min="12030" max="12030" width="13.7109375" style="14" customWidth="1"/>
    <col min="12031" max="12031" width="14.140625" style="14" customWidth="1"/>
    <col min="12032" max="12032" width="15.5703125" style="14" customWidth="1"/>
    <col min="12033" max="12035" width="18" style="14" customWidth="1"/>
    <col min="12036" max="12036" width="15.85546875" style="14" customWidth="1"/>
    <col min="12037" max="12037" width="14" style="14" customWidth="1"/>
    <col min="12038" max="12041" width="15.28515625" style="14" customWidth="1"/>
    <col min="12042" max="12042" width="14.7109375" style="14" customWidth="1"/>
    <col min="12043" max="12045" width="15.28515625" style="14" customWidth="1"/>
    <col min="12046" max="12046" width="15.7109375" style="14" customWidth="1"/>
    <col min="12047" max="12049" width="15.28515625" style="14" customWidth="1"/>
    <col min="12050" max="12276" width="9.140625" style="14"/>
    <col min="12277" max="12277" width="20.7109375" style="14" customWidth="1"/>
    <col min="12278" max="12278" width="14.5703125" style="14" customWidth="1"/>
    <col min="12279" max="12279" width="14.140625" style="14" customWidth="1"/>
    <col min="12280" max="12280" width="13.28515625" style="14" customWidth="1"/>
    <col min="12281" max="12281" width="13.5703125" style="14" customWidth="1"/>
    <col min="12282" max="12282" width="9.7109375" style="14" customWidth="1"/>
    <col min="12283" max="12283" width="9.5703125" style="14" customWidth="1"/>
    <col min="12284" max="12284" width="9.85546875" style="14" customWidth="1"/>
    <col min="12285" max="12285" width="9.140625" style="14"/>
    <col min="12286" max="12286" width="13.7109375" style="14" customWidth="1"/>
    <col min="12287" max="12287" width="14.140625" style="14" customWidth="1"/>
    <col min="12288" max="12288" width="15.5703125" style="14" customWidth="1"/>
    <col min="12289" max="12291" width="18" style="14" customWidth="1"/>
    <col min="12292" max="12292" width="15.85546875" style="14" customWidth="1"/>
    <col min="12293" max="12293" width="14" style="14" customWidth="1"/>
    <col min="12294" max="12297" width="15.28515625" style="14" customWidth="1"/>
    <col min="12298" max="12298" width="14.7109375" style="14" customWidth="1"/>
    <col min="12299" max="12301" width="15.28515625" style="14" customWidth="1"/>
    <col min="12302" max="12302" width="15.7109375" style="14" customWidth="1"/>
    <col min="12303" max="12305" width="15.28515625" style="14" customWidth="1"/>
    <col min="12306" max="12532" width="9.140625" style="14"/>
    <col min="12533" max="12533" width="20.7109375" style="14" customWidth="1"/>
    <col min="12534" max="12534" width="14.5703125" style="14" customWidth="1"/>
    <col min="12535" max="12535" width="14.140625" style="14" customWidth="1"/>
    <col min="12536" max="12536" width="13.28515625" style="14" customWidth="1"/>
    <col min="12537" max="12537" width="13.5703125" style="14" customWidth="1"/>
    <col min="12538" max="12538" width="9.7109375" style="14" customWidth="1"/>
    <col min="12539" max="12539" width="9.5703125" style="14" customWidth="1"/>
    <col min="12540" max="12540" width="9.85546875" style="14" customWidth="1"/>
    <col min="12541" max="12541" width="9.140625" style="14"/>
    <col min="12542" max="12542" width="13.7109375" style="14" customWidth="1"/>
    <col min="12543" max="12543" width="14.140625" style="14" customWidth="1"/>
    <col min="12544" max="12544" width="15.5703125" style="14" customWidth="1"/>
    <col min="12545" max="12547" width="18" style="14" customWidth="1"/>
    <col min="12548" max="12548" width="15.85546875" style="14" customWidth="1"/>
    <col min="12549" max="12549" width="14" style="14" customWidth="1"/>
    <col min="12550" max="12553" width="15.28515625" style="14" customWidth="1"/>
    <col min="12554" max="12554" width="14.7109375" style="14" customWidth="1"/>
    <col min="12555" max="12557" width="15.28515625" style="14" customWidth="1"/>
    <col min="12558" max="12558" width="15.7109375" style="14" customWidth="1"/>
    <col min="12559" max="12561" width="15.28515625" style="14" customWidth="1"/>
    <col min="12562" max="12788" width="9.140625" style="14"/>
    <col min="12789" max="12789" width="20.7109375" style="14" customWidth="1"/>
    <col min="12790" max="12790" width="14.5703125" style="14" customWidth="1"/>
    <col min="12791" max="12791" width="14.140625" style="14" customWidth="1"/>
    <col min="12792" max="12792" width="13.28515625" style="14" customWidth="1"/>
    <col min="12793" max="12793" width="13.5703125" style="14" customWidth="1"/>
    <col min="12794" max="12794" width="9.7109375" style="14" customWidth="1"/>
    <col min="12795" max="12795" width="9.5703125" style="14" customWidth="1"/>
    <col min="12796" max="12796" width="9.85546875" style="14" customWidth="1"/>
    <col min="12797" max="12797" width="9.140625" style="14"/>
    <col min="12798" max="12798" width="13.7109375" style="14" customWidth="1"/>
    <col min="12799" max="12799" width="14.140625" style="14" customWidth="1"/>
    <col min="12800" max="12800" width="15.5703125" style="14" customWidth="1"/>
    <col min="12801" max="12803" width="18" style="14" customWidth="1"/>
    <col min="12804" max="12804" width="15.85546875" style="14" customWidth="1"/>
    <col min="12805" max="12805" width="14" style="14" customWidth="1"/>
    <col min="12806" max="12809" width="15.28515625" style="14" customWidth="1"/>
    <col min="12810" max="12810" width="14.7109375" style="14" customWidth="1"/>
    <col min="12811" max="12813" width="15.28515625" style="14" customWidth="1"/>
    <col min="12814" max="12814" width="15.7109375" style="14" customWidth="1"/>
    <col min="12815" max="12817" width="15.28515625" style="14" customWidth="1"/>
    <col min="12818" max="13044" width="9.140625" style="14"/>
    <col min="13045" max="13045" width="20.7109375" style="14" customWidth="1"/>
    <col min="13046" max="13046" width="14.5703125" style="14" customWidth="1"/>
    <col min="13047" max="13047" width="14.140625" style="14" customWidth="1"/>
    <col min="13048" max="13048" width="13.28515625" style="14" customWidth="1"/>
    <col min="13049" max="13049" width="13.5703125" style="14" customWidth="1"/>
    <col min="13050" max="13050" width="9.7109375" style="14" customWidth="1"/>
    <col min="13051" max="13051" width="9.5703125" style="14" customWidth="1"/>
    <col min="13052" max="13052" width="9.85546875" style="14" customWidth="1"/>
    <col min="13053" max="13053" width="9.140625" style="14"/>
    <col min="13054" max="13054" width="13.7109375" style="14" customWidth="1"/>
    <col min="13055" max="13055" width="14.140625" style="14" customWidth="1"/>
    <col min="13056" max="13056" width="15.5703125" style="14" customWidth="1"/>
    <col min="13057" max="13059" width="18" style="14" customWidth="1"/>
    <col min="13060" max="13060" width="15.85546875" style="14" customWidth="1"/>
    <col min="13061" max="13061" width="14" style="14" customWidth="1"/>
    <col min="13062" max="13065" width="15.28515625" style="14" customWidth="1"/>
    <col min="13066" max="13066" width="14.7109375" style="14" customWidth="1"/>
    <col min="13067" max="13069" width="15.28515625" style="14" customWidth="1"/>
    <col min="13070" max="13070" width="15.7109375" style="14" customWidth="1"/>
    <col min="13071" max="13073" width="15.28515625" style="14" customWidth="1"/>
    <col min="13074" max="13300" width="9.140625" style="14"/>
    <col min="13301" max="13301" width="20.7109375" style="14" customWidth="1"/>
    <col min="13302" max="13302" width="14.5703125" style="14" customWidth="1"/>
    <col min="13303" max="13303" width="14.140625" style="14" customWidth="1"/>
    <col min="13304" max="13304" width="13.28515625" style="14" customWidth="1"/>
    <col min="13305" max="13305" width="13.5703125" style="14" customWidth="1"/>
    <col min="13306" max="13306" width="9.7109375" style="14" customWidth="1"/>
    <col min="13307" max="13307" width="9.5703125" style="14" customWidth="1"/>
    <col min="13308" max="13308" width="9.85546875" style="14" customWidth="1"/>
    <col min="13309" max="13309" width="9.140625" style="14"/>
    <col min="13310" max="13310" width="13.7109375" style="14" customWidth="1"/>
    <col min="13311" max="13311" width="14.140625" style="14" customWidth="1"/>
    <col min="13312" max="13312" width="15.5703125" style="14" customWidth="1"/>
    <col min="13313" max="13315" width="18" style="14" customWidth="1"/>
    <col min="13316" max="13316" width="15.85546875" style="14" customWidth="1"/>
    <col min="13317" max="13317" width="14" style="14" customWidth="1"/>
    <col min="13318" max="13321" width="15.28515625" style="14" customWidth="1"/>
    <col min="13322" max="13322" width="14.7109375" style="14" customWidth="1"/>
    <col min="13323" max="13325" width="15.28515625" style="14" customWidth="1"/>
    <col min="13326" max="13326" width="15.7109375" style="14" customWidth="1"/>
    <col min="13327" max="13329" width="15.28515625" style="14" customWidth="1"/>
    <col min="13330" max="13556" width="9.140625" style="14"/>
    <col min="13557" max="13557" width="20.7109375" style="14" customWidth="1"/>
    <col min="13558" max="13558" width="14.5703125" style="14" customWidth="1"/>
    <col min="13559" max="13559" width="14.140625" style="14" customWidth="1"/>
    <col min="13560" max="13560" width="13.28515625" style="14" customWidth="1"/>
    <col min="13561" max="13561" width="13.5703125" style="14" customWidth="1"/>
    <col min="13562" max="13562" width="9.7109375" style="14" customWidth="1"/>
    <col min="13563" max="13563" width="9.5703125" style="14" customWidth="1"/>
    <col min="13564" max="13564" width="9.85546875" style="14" customWidth="1"/>
    <col min="13565" max="13565" width="9.140625" style="14"/>
    <col min="13566" max="13566" width="13.7109375" style="14" customWidth="1"/>
    <col min="13567" max="13567" width="14.140625" style="14" customWidth="1"/>
    <col min="13568" max="13568" width="15.5703125" style="14" customWidth="1"/>
    <col min="13569" max="13571" width="18" style="14" customWidth="1"/>
    <col min="13572" max="13572" width="15.85546875" style="14" customWidth="1"/>
    <col min="13573" max="13573" width="14" style="14" customWidth="1"/>
    <col min="13574" max="13577" width="15.28515625" style="14" customWidth="1"/>
    <col min="13578" max="13578" width="14.7109375" style="14" customWidth="1"/>
    <col min="13579" max="13581" width="15.28515625" style="14" customWidth="1"/>
    <col min="13582" max="13582" width="15.7109375" style="14" customWidth="1"/>
    <col min="13583" max="13585" width="15.28515625" style="14" customWidth="1"/>
    <col min="13586" max="13812" width="9.140625" style="14"/>
    <col min="13813" max="13813" width="20.7109375" style="14" customWidth="1"/>
    <col min="13814" max="13814" width="14.5703125" style="14" customWidth="1"/>
    <col min="13815" max="13815" width="14.140625" style="14" customWidth="1"/>
    <col min="13816" max="13816" width="13.28515625" style="14" customWidth="1"/>
    <col min="13817" max="13817" width="13.5703125" style="14" customWidth="1"/>
    <col min="13818" max="13818" width="9.7109375" style="14" customWidth="1"/>
    <col min="13819" max="13819" width="9.5703125" style="14" customWidth="1"/>
    <col min="13820" max="13820" width="9.85546875" style="14" customWidth="1"/>
    <col min="13821" max="13821" width="9.140625" style="14"/>
    <col min="13822" max="13822" width="13.7109375" style="14" customWidth="1"/>
    <col min="13823" max="13823" width="14.140625" style="14" customWidth="1"/>
    <col min="13824" max="13824" width="15.5703125" style="14" customWidth="1"/>
    <col min="13825" max="13827" width="18" style="14" customWidth="1"/>
    <col min="13828" max="13828" width="15.85546875" style="14" customWidth="1"/>
    <col min="13829" max="13829" width="14" style="14" customWidth="1"/>
    <col min="13830" max="13833" width="15.28515625" style="14" customWidth="1"/>
    <col min="13834" max="13834" width="14.7109375" style="14" customWidth="1"/>
    <col min="13835" max="13837" width="15.28515625" style="14" customWidth="1"/>
    <col min="13838" max="13838" width="15.7109375" style="14" customWidth="1"/>
    <col min="13839" max="13841" width="15.28515625" style="14" customWidth="1"/>
    <col min="13842" max="14068" width="9.140625" style="14"/>
    <col min="14069" max="14069" width="20.7109375" style="14" customWidth="1"/>
    <col min="14070" max="14070" width="14.5703125" style="14" customWidth="1"/>
    <col min="14071" max="14071" width="14.140625" style="14" customWidth="1"/>
    <col min="14072" max="14072" width="13.28515625" style="14" customWidth="1"/>
    <col min="14073" max="14073" width="13.5703125" style="14" customWidth="1"/>
    <col min="14074" max="14074" width="9.7109375" style="14" customWidth="1"/>
    <col min="14075" max="14075" width="9.5703125" style="14" customWidth="1"/>
    <col min="14076" max="14076" width="9.85546875" style="14" customWidth="1"/>
    <col min="14077" max="14077" width="9.140625" style="14"/>
    <col min="14078" max="14078" width="13.7109375" style="14" customWidth="1"/>
    <col min="14079" max="14079" width="14.140625" style="14" customWidth="1"/>
    <col min="14080" max="14080" width="15.5703125" style="14" customWidth="1"/>
    <col min="14081" max="14083" width="18" style="14" customWidth="1"/>
    <col min="14084" max="14084" width="15.85546875" style="14" customWidth="1"/>
    <col min="14085" max="14085" width="14" style="14" customWidth="1"/>
    <col min="14086" max="14089" width="15.28515625" style="14" customWidth="1"/>
    <col min="14090" max="14090" width="14.7109375" style="14" customWidth="1"/>
    <col min="14091" max="14093" width="15.28515625" style="14" customWidth="1"/>
    <col min="14094" max="14094" width="15.7109375" style="14" customWidth="1"/>
    <col min="14095" max="14097" width="15.28515625" style="14" customWidth="1"/>
    <col min="14098" max="14324" width="9.140625" style="14"/>
    <col min="14325" max="14325" width="20.7109375" style="14" customWidth="1"/>
    <col min="14326" max="14326" width="14.5703125" style="14" customWidth="1"/>
    <col min="14327" max="14327" width="14.140625" style="14" customWidth="1"/>
    <col min="14328" max="14328" width="13.28515625" style="14" customWidth="1"/>
    <col min="14329" max="14329" width="13.5703125" style="14" customWidth="1"/>
    <col min="14330" max="14330" width="9.7109375" style="14" customWidth="1"/>
    <col min="14331" max="14331" width="9.5703125" style="14" customWidth="1"/>
    <col min="14332" max="14332" width="9.85546875" style="14" customWidth="1"/>
    <col min="14333" max="14333" width="9.140625" style="14"/>
    <col min="14334" max="14334" width="13.7109375" style="14" customWidth="1"/>
    <col min="14335" max="14335" width="14.140625" style="14" customWidth="1"/>
    <col min="14336" max="14336" width="15.5703125" style="14" customWidth="1"/>
    <col min="14337" max="14339" width="18" style="14" customWidth="1"/>
    <col min="14340" max="14340" width="15.85546875" style="14" customWidth="1"/>
    <col min="14341" max="14341" width="14" style="14" customWidth="1"/>
    <col min="14342" max="14345" width="15.28515625" style="14" customWidth="1"/>
    <col min="14346" max="14346" width="14.7109375" style="14" customWidth="1"/>
    <col min="14347" max="14349" width="15.28515625" style="14" customWidth="1"/>
    <col min="14350" max="14350" width="15.7109375" style="14" customWidth="1"/>
    <col min="14351" max="14353" width="15.28515625" style="14" customWidth="1"/>
    <col min="14354" max="14580" width="9.140625" style="14"/>
    <col min="14581" max="14581" width="20.7109375" style="14" customWidth="1"/>
    <col min="14582" max="14582" width="14.5703125" style="14" customWidth="1"/>
    <col min="14583" max="14583" width="14.140625" style="14" customWidth="1"/>
    <col min="14584" max="14584" width="13.28515625" style="14" customWidth="1"/>
    <col min="14585" max="14585" width="13.5703125" style="14" customWidth="1"/>
    <col min="14586" max="14586" width="9.7109375" style="14" customWidth="1"/>
    <col min="14587" max="14587" width="9.5703125" style="14" customWidth="1"/>
    <col min="14588" max="14588" width="9.85546875" style="14" customWidth="1"/>
    <col min="14589" max="14589" width="9.140625" style="14"/>
    <col min="14590" max="14590" width="13.7109375" style="14" customWidth="1"/>
    <col min="14591" max="14591" width="14.140625" style="14" customWidth="1"/>
    <col min="14592" max="14592" width="15.5703125" style="14" customWidth="1"/>
    <col min="14593" max="14595" width="18" style="14" customWidth="1"/>
    <col min="14596" max="14596" width="15.85546875" style="14" customWidth="1"/>
    <col min="14597" max="14597" width="14" style="14" customWidth="1"/>
    <col min="14598" max="14601" width="15.28515625" style="14" customWidth="1"/>
    <col min="14602" max="14602" width="14.7109375" style="14" customWidth="1"/>
    <col min="14603" max="14605" width="15.28515625" style="14" customWidth="1"/>
    <col min="14606" max="14606" width="15.7109375" style="14" customWidth="1"/>
    <col min="14607" max="14609" width="15.28515625" style="14" customWidth="1"/>
    <col min="14610" max="14836" width="9.140625" style="14"/>
    <col min="14837" max="14837" width="20.7109375" style="14" customWidth="1"/>
    <col min="14838" max="14838" width="14.5703125" style="14" customWidth="1"/>
    <col min="14839" max="14839" width="14.140625" style="14" customWidth="1"/>
    <col min="14840" max="14840" width="13.28515625" style="14" customWidth="1"/>
    <col min="14841" max="14841" width="13.5703125" style="14" customWidth="1"/>
    <col min="14842" max="14842" width="9.7109375" style="14" customWidth="1"/>
    <col min="14843" max="14843" width="9.5703125" style="14" customWidth="1"/>
    <col min="14844" max="14844" width="9.85546875" style="14" customWidth="1"/>
    <col min="14845" max="14845" width="9.140625" style="14"/>
    <col min="14846" max="14846" width="13.7109375" style="14" customWidth="1"/>
    <col min="14847" max="14847" width="14.140625" style="14" customWidth="1"/>
    <col min="14848" max="14848" width="15.5703125" style="14" customWidth="1"/>
    <col min="14849" max="14851" width="18" style="14" customWidth="1"/>
    <col min="14852" max="14852" width="15.85546875" style="14" customWidth="1"/>
    <col min="14853" max="14853" width="14" style="14" customWidth="1"/>
    <col min="14854" max="14857" width="15.28515625" style="14" customWidth="1"/>
    <col min="14858" max="14858" width="14.7109375" style="14" customWidth="1"/>
    <col min="14859" max="14861" width="15.28515625" style="14" customWidth="1"/>
    <col min="14862" max="14862" width="15.7109375" style="14" customWidth="1"/>
    <col min="14863" max="14865" width="15.28515625" style="14" customWidth="1"/>
    <col min="14866" max="15092" width="9.140625" style="14"/>
    <col min="15093" max="15093" width="20.7109375" style="14" customWidth="1"/>
    <col min="15094" max="15094" width="14.5703125" style="14" customWidth="1"/>
    <col min="15095" max="15095" width="14.140625" style="14" customWidth="1"/>
    <col min="15096" max="15096" width="13.28515625" style="14" customWidth="1"/>
    <col min="15097" max="15097" width="13.5703125" style="14" customWidth="1"/>
    <col min="15098" max="15098" width="9.7109375" style="14" customWidth="1"/>
    <col min="15099" max="15099" width="9.5703125" style="14" customWidth="1"/>
    <col min="15100" max="15100" width="9.85546875" style="14" customWidth="1"/>
    <col min="15101" max="15101" width="9.140625" style="14"/>
    <col min="15102" max="15102" width="13.7109375" style="14" customWidth="1"/>
    <col min="15103" max="15103" width="14.140625" style="14" customWidth="1"/>
    <col min="15104" max="15104" width="15.5703125" style="14" customWidth="1"/>
    <col min="15105" max="15107" width="18" style="14" customWidth="1"/>
    <col min="15108" max="15108" width="15.85546875" style="14" customWidth="1"/>
    <col min="15109" max="15109" width="14" style="14" customWidth="1"/>
    <col min="15110" max="15113" width="15.28515625" style="14" customWidth="1"/>
    <col min="15114" max="15114" width="14.7109375" style="14" customWidth="1"/>
    <col min="15115" max="15117" width="15.28515625" style="14" customWidth="1"/>
    <col min="15118" max="15118" width="15.7109375" style="14" customWidth="1"/>
    <col min="15119" max="15121" width="15.28515625" style="14" customWidth="1"/>
    <col min="15122" max="15348" width="9.140625" style="14"/>
    <col min="15349" max="15349" width="20.7109375" style="14" customWidth="1"/>
    <col min="15350" max="15350" width="14.5703125" style="14" customWidth="1"/>
    <col min="15351" max="15351" width="14.140625" style="14" customWidth="1"/>
    <col min="15352" max="15352" width="13.28515625" style="14" customWidth="1"/>
    <col min="15353" max="15353" width="13.5703125" style="14" customWidth="1"/>
    <col min="15354" max="15354" width="9.7109375" style="14" customWidth="1"/>
    <col min="15355" max="15355" width="9.5703125" style="14" customWidth="1"/>
    <col min="15356" max="15356" width="9.85546875" style="14" customWidth="1"/>
    <col min="15357" max="15357" width="9.140625" style="14"/>
    <col min="15358" max="15358" width="13.7109375" style="14" customWidth="1"/>
    <col min="15359" max="15359" width="14.140625" style="14" customWidth="1"/>
    <col min="15360" max="15360" width="15.5703125" style="14" customWidth="1"/>
    <col min="15361" max="15363" width="18" style="14" customWidth="1"/>
    <col min="15364" max="15364" width="15.85546875" style="14" customWidth="1"/>
    <col min="15365" max="15365" width="14" style="14" customWidth="1"/>
    <col min="15366" max="15369" width="15.28515625" style="14" customWidth="1"/>
    <col min="15370" max="15370" width="14.7109375" style="14" customWidth="1"/>
    <col min="15371" max="15373" width="15.28515625" style="14" customWidth="1"/>
    <col min="15374" max="15374" width="15.7109375" style="14" customWidth="1"/>
    <col min="15375" max="15377" width="15.28515625" style="14" customWidth="1"/>
    <col min="15378" max="15604" width="9.140625" style="14"/>
    <col min="15605" max="15605" width="20.7109375" style="14" customWidth="1"/>
    <col min="15606" max="15606" width="14.5703125" style="14" customWidth="1"/>
    <col min="15607" max="15607" width="14.140625" style="14" customWidth="1"/>
    <col min="15608" max="15608" width="13.28515625" style="14" customWidth="1"/>
    <col min="15609" max="15609" width="13.5703125" style="14" customWidth="1"/>
    <col min="15610" max="15610" width="9.7109375" style="14" customWidth="1"/>
    <col min="15611" max="15611" width="9.5703125" style="14" customWidth="1"/>
    <col min="15612" max="15612" width="9.85546875" style="14" customWidth="1"/>
    <col min="15613" max="15613" width="9.140625" style="14"/>
    <col min="15614" max="15614" width="13.7109375" style="14" customWidth="1"/>
    <col min="15615" max="15615" width="14.140625" style="14" customWidth="1"/>
    <col min="15616" max="15616" width="15.5703125" style="14" customWidth="1"/>
    <col min="15617" max="15619" width="18" style="14" customWidth="1"/>
    <col min="15620" max="15620" width="15.85546875" style="14" customWidth="1"/>
    <col min="15621" max="15621" width="14" style="14" customWidth="1"/>
    <col min="15622" max="15625" width="15.28515625" style="14" customWidth="1"/>
    <col min="15626" max="15626" width="14.7109375" style="14" customWidth="1"/>
    <col min="15627" max="15629" width="15.28515625" style="14" customWidth="1"/>
    <col min="15630" max="15630" width="15.7109375" style="14" customWidth="1"/>
    <col min="15631" max="15633" width="15.28515625" style="14" customWidth="1"/>
    <col min="15634" max="15860" width="9.140625" style="14"/>
    <col min="15861" max="15861" width="20.7109375" style="14" customWidth="1"/>
    <col min="15862" max="15862" width="14.5703125" style="14" customWidth="1"/>
    <col min="15863" max="15863" width="14.140625" style="14" customWidth="1"/>
    <col min="15864" max="15864" width="13.28515625" style="14" customWidth="1"/>
    <col min="15865" max="15865" width="13.5703125" style="14" customWidth="1"/>
    <col min="15866" max="15866" width="9.7109375" style="14" customWidth="1"/>
    <col min="15867" max="15867" width="9.5703125" style="14" customWidth="1"/>
    <col min="15868" max="15868" width="9.85546875" style="14" customWidth="1"/>
    <col min="15869" max="15869" width="9.140625" style="14"/>
    <col min="15870" max="15870" width="13.7109375" style="14" customWidth="1"/>
    <col min="15871" max="15871" width="14.140625" style="14" customWidth="1"/>
    <col min="15872" max="15872" width="15.5703125" style="14" customWidth="1"/>
    <col min="15873" max="15875" width="18" style="14" customWidth="1"/>
    <col min="15876" max="15876" width="15.85546875" style="14" customWidth="1"/>
    <col min="15877" max="15877" width="14" style="14" customWidth="1"/>
    <col min="15878" max="15881" width="15.28515625" style="14" customWidth="1"/>
    <col min="15882" max="15882" width="14.7109375" style="14" customWidth="1"/>
    <col min="15883" max="15885" width="15.28515625" style="14" customWidth="1"/>
    <col min="15886" max="15886" width="15.7109375" style="14" customWidth="1"/>
    <col min="15887" max="15889" width="15.28515625" style="14" customWidth="1"/>
    <col min="15890" max="16116" width="9.140625" style="14"/>
    <col min="16117" max="16117" width="20.7109375" style="14" customWidth="1"/>
    <col min="16118" max="16118" width="14.5703125" style="14" customWidth="1"/>
    <col min="16119" max="16119" width="14.140625" style="14" customWidth="1"/>
    <col min="16120" max="16120" width="13.28515625" style="14" customWidth="1"/>
    <col min="16121" max="16121" width="13.5703125" style="14" customWidth="1"/>
    <col min="16122" max="16122" width="9.7109375" style="14" customWidth="1"/>
    <col min="16123" max="16123" width="9.5703125" style="14" customWidth="1"/>
    <col min="16124" max="16124" width="9.85546875" style="14" customWidth="1"/>
    <col min="16125" max="16125" width="9.140625" style="14"/>
    <col min="16126" max="16126" width="13.7109375" style="14" customWidth="1"/>
    <col min="16127" max="16127" width="14.140625" style="14" customWidth="1"/>
    <col min="16128" max="16128" width="15.5703125" style="14" customWidth="1"/>
    <col min="16129" max="16131" width="18" style="14" customWidth="1"/>
    <col min="16132" max="16132" width="15.85546875" style="14" customWidth="1"/>
    <col min="16133" max="16133" width="14" style="14" customWidth="1"/>
    <col min="16134" max="16137" width="15.28515625" style="14" customWidth="1"/>
    <col min="16138" max="16138" width="14.7109375" style="14" customWidth="1"/>
    <col min="16139" max="16141" width="15.28515625" style="14" customWidth="1"/>
    <col min="16142" max="16142" width="15.7109375" style="14" customWidth="1"/>
    <col min="16143" max="16145" width="15.28515625" style="14" customWidth="1"/>
    <col min="16146" max="16375" width="9.140625" style="14"/>
    <col min="16376" max="16384" width="9.140625" style="14" customWidth="1"/>
  </cols>
  <sheetData>
    <row r="1" spans="1:18" x14ac:dyDescent="0.2">
      <c r="A1" s="1046" t="s">
        <v>406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</row>
    <row r="2" spans="1:18" s="18" customFormat="1" ht="66.75" customHeight="1" x14ac:dyDescent="0.2">
      <c r="A2" s="1032" t="s">
        <v>132</v>
      </c>
      <c r="B2" s="1045" t="str">
        <f>'Услуги связи'!B3</f>
        <v xml:space="preserve">Нормативная численность обучающихся </v>
      </c>
      <c r="C2" s="1034" t="s">
        <v>24</v>
      </c>
      <c r="D2" s="1035"/>
      <c r="E2" s="1036"/>
      <c r="F2" s="1037" t="s">
        <v>2</v>
      </c>
      <c r="G2" s="1038"/>
      <c r="H2" s="1038"/>
      <c r="I2" s="1039"/>
      <c r="J2" s="1028" t="s">
        <v>338</v>
      </c>
      <c r="K2" s="1028" t="s">
        <v>370</v>
      </c>
      <c r="L2" s="1028" t="s">
        <v>403</v>
      </c>
      <c r="M2" s="1031" t="s">
        <v>150</v>
      </c>
      <c r="N2" s="1031"/>
      <c r="O2" s="1042" t="s">
        <v>322</v>
      </c>
      <c r="P2" s="1028" t="s">
        <v>338</v>
      </c>
      <c r="Q2" s="1028" t="s">
        <v>370</v>
      </c>
      <c r="R2" s="1028" t="s">
        <v>403</v>
      </c>
    </row>
    <row r="3" spans="1:18" s="18" customFormat="1" ht="12.75" customHeight="1" x14ac:dyDescent="0.2">
      <c r="A3" s="1029"/>
      <c r="B3" s="1045"/>
      <c r="C3" s="1031">
        <v>2021</v>
      </c>
      <c r="D3" s="1031">
        <v>2022</v>
      </c>
      <c r="E3" s="1031">
        <v>2023</v>
      </c>
      <c r="F3" s="98">
        <v>2020</v>
      </c>
      <c r="G3" s="98">
        <v>2021</v>
      </c>
      <c r="H3" s="98">
        <v>2022</v>
      </c>
      <c r="I3" s="98">
        <v>2023</v>
      </c>
      <c r="J3" s="1029"/>
      <c r="K3" s="1029"/>
      <c r="L3" s="1029"/>
      <c r="M3" s="1031"/>
      <c r="N3" s="1031"/>
      <c r="O3" s="1043"/>
      <c r="P3" s="1040"/>
      <c r="Q3" s="1040"/>
      <c r="R3" s="1040"/>
    </row>
    <row r="4" spans="1:18" s="18" customFormat="1" x14ac:dyDescent="0.2">
      <c r="A4" s="1029"/>
      <c r="B4" s="1045"/>
      <c r="C4" s="1031"/>
      <c r="D4" s="1031"/>
      <c r="E4" s="1031"/>
      <c r="F4" s="1037" t="s">
        <v>22</v>
      </c>
      <c r="G4" s="1038"/>
      <c r="H4" s="1038"/>
      <c r="I4" s="1039"/>
      <c r="J4" s="1029"/>
      <c r="K4" s="1029"/>
      <c r="L4" s="1029"/>
      <c r="M4" s="1032" t="s">
        <v>24</v>
      </c>
      <c r="N4" s="1032" t="s">
        <v>33</v>
      </c>
      <c r="O4" s="1043"/>
      <c r="P4" s="1040"/>
      <c r="Q4" s="1040"/>
      <c r="R4" s="1040"/>
    </row>
    <row r="5" spans="1:18" s="18" customFormat="1" x14ac:dyDescent="0.2">
      <c r="A5" s="1030"/>
      <c r="B5" s="1045"/>
      <c r="C5" s="1031"/>
      <c r="D5" s="1031"/>
      <c r="E5" s="1031"/>
      <c r="F5" s="98">
        <v>1</v>
      </c>
      <c r="G5" s="98">
        <v>1.05</v>
      </c>
      <c r="H5" s="98">
        <v>1.05</v>
      </c>
      <c r="I5" s="98">
        <v>1.05</v>
      </c>
      <c r="J5" s="1030"/>
      <c r="K5" s="1030"/>
      <c r="L5" s="1030"/>
      <c r="M5" s="1030"/>
      <c r="N5" s="1030"/>
      <c r="O5" s="1044"/>
      <c r="P5" s="1041"/>
      <c r="Q5" s="1041"/>
      <c r="R5" s="1041"/>
    </row>
    <row r="6" spans="1:18" s="18" customFormat="1" x14ac:dyDescent="0.2">
      <c r="A6" s="38" t="str">
        <f>Водопотребление!A6</f>
        <v>МАДОУ ЦРР-детский сад № 2</v>
      </c>
      <c r="B6" s="253">
        <f>Водопотребление!B6</f>
        <v>506</v>
      </c>
      <c r="C6" s="202">
        <f>'Факт. объемы'!AD7</f>
        <v>2659</v>
      </c>
      <c r="D6" s="202">
        <f>C6</f>
        <v>2659</v>
      </c>
      <c r="E6" s="202">
        <f>C6</f>
        <v>2659</v>
      </c>
      <c r="F6" s="204">
        <v>45.54</v>
      </c>
      <c r="G6" s="204">
        <v>43.99</v>
      </c>
      <c r="H6" s="204">
        <v>45.29</v>
      </c>
      <c r="I6" s="204">
        <v>47.22</v>
      </c>
      <c r="J6" s="204">
        <f>ROUND(C6*G6,0)</f>
        <v>116969</v>
      </c>
      <c r="K6" s="204">
        <f>ROUND(D6*H6,0)</f>
        <v>120426</v>
      </c>
      <c r="L6" s="204">
        <f>ROUND(E6*I6,0)</f>
        <v>125558</v>
      </c>
      <c r="M6" s="203"/>
      <c r="N6" s="203"/>
      <c r="O6" s="383">
        <f>ROUND((C6-M6)/B6,3)</f>
        <v>5.2549999999999999</v>
      </c>
      <c r="P6" s="160">
        <f>ROUND(B6*G6*O6,2)</f>
        <v>116970.73</v>
      </c>
      <c r="Q6" s="160">
        <f>ROUND(B6*H6*O6,2)</f>
        <v>120427.47</v>
      </c>
      <c r="R6" s="160">
        <f>ROUND(B6*I6*O6,2)</f>
        <v>125559.4</v>
      </c>
    </row>
    <row r="7" spans="1:18" s="18" customFormat="1" x14ac:dyDescent="0.2">
      <c r="A7" s="38" t="str">
        <f>Водопотребление!A7</f>
        <v>МАДОУ ЦРР-детский сад № 11</v>
      </c>
      <c r="B7" s="253">
        <f>Водопотребление!B7</f>
        <v>559</v>
      </c>
      <c r="C7" s="202">
        <f>'Факт. объемы'!AD8</f>
        <v>4672</v>
      </c>
      <c r="D7" s="202">
        <f t="shared" ref="D7:D14" si="0">C7</f>
        <v>4672</v>
      </c>
      <c r="E7" s="202">
        <f t="shared" ref="E7:E14" si="1">C7</f>
        <v>4672</v>
      </c>
      <c r="F7" s="624">
        <v>45.54</v>
      </c>
      <c r="G7" s="624">
        <v>43.99</v>
      </c>
      <c r="H7" s="624">
        <v>45.29</v>
      </c>
      <c r="I7" s="624">
        <v>47.22</v>
      </c>
      <c r="J7" s="204">
        <f t="shared" ref="J7:J14" si="2">ROUND(C7*G7,0)</f>
        <v>205521</v>
      </c>
      <c r="K7" s="204">
        <f t="shared" ref="K7:K14" si="3">ROUND(D7*H7,0)</f>
        <v>211595</v>
      </c>
      <c r="L7" s="204">
        <f t="shared" ref="L7:L14" si="4">ROUND(E7*I7,0)</f>
        <v>220612</v>
      </c>
      <c r="M7" s="203"/>
      <c r="N7" s="203"/>
      <c r="O7" s="383">
        <f>ROUND((C7-M7)/B7,3)</f>
        <v>8.3580000000000005</v>
      </c>
      <c r="P7" s="160">
        <f t="shared" ref="P7:P14" si="5">ROUND(B7*G7*O7,2)</f>
        <v>205526.65</v>
      </c>
      <c r="Q7" s="160">
        <f t="shared" ref="Q7:Q13" si="6">ROUND(B7*H7*O7,2)</f>
        <v>211600.41</v>
      </c>
      <c r="R7" s="160">
        <f t="shared" ref="R7:R14" si="7">ROUND(B7*I7*O7,2)</f>
        <v>220617.60000000001</v>
      </c>
    </row>
    <row r="8" spans="1:18" s="18" customFormat="1" x14ac:dyDescent="0.2">
      <c r="A8" s="38" t="str">
        <f>Водопотребление!A8</f>
        <v>МАДОУ ЦРР-детский сад № 13</v>
      </c>
      <c r="B8" s="253">
        <f>Водопотребление!B8</f>
        <v>633</v>
      </c>
      <c r="C8" s="202">
        <f>'Факт. объемы'!AD9</f>
        <v>6863</v>
      </c>
      <c r="D8" s="202">
        <f t="shared" si="0"/>
        <v>6863</v>
      </c>
      <c r="E8" s="202">
        <f t="shared" si="1"/>
        <v>6863</v>
      </c>
      <c r="F8" s="624">
        <v>45.54</v>
      </c>
      <c r="G8" s="624">
        <v>43.99</v>
      </c>
      <c r="H8" s="624">
        <v>45.29</v>
      </c>
      <c r="I8" s="624">
        <v>47.22</v>
      </c>
      <c r="J8" s="204">
        <f t="shared" si="2"/>
        <v>301903</v>
      </c>
      <c r="K8" s="204">
        <f t="shared" si="3"/>
        <v>310825</v>
      </c>
      <c r="L8" s="204">
        <f t="shared" si="4"/>
        <v>324071</v>
      </c>
      <c r="M8" s="203"/>
      <c r="N8" s="203"/>
      <c r="O8" s="383">
        <f>ROUND((C8-M8)/B8,3)</f>
        <v>10.842000000000001</v>
      </c>
      <c r="P8" s="160">
        <f t="shared" si="5"/>
        <v>301902.75</v>
      </c>
      <c r="Q8" s="160">
        <f t="shared" si="6"/>
        <v>310824.64</v>
      </c>
      <c r="R8" s="160">
        <f t="shared" si="7"/>
        <v>324070.2</v>
      </c>
    </row>
    <row r="9" spans="1:18" s="18" customFormat="1" x14ac:dyDescent="0.2">
      <c r="A9" s="38" t="str">
        <f>Водопотребление!A9</f>
        <v>МАОУ СОШ № 1 структурное подразделение</v>
      </c>
      <c r="B9" s="253">
        <f>Водопотребление!B9</f>
        <v>381</v>
      </c>
      <c r="C9" s="202">
        <f>'Факт. объемы'!AD10</f>
        <v>3980</v>
      </c>
      <c r="D9" s="202">
        <f t="shared" si="0"/>
        <v>3980</v>
      </c>
      <c r="E9" s="202">
        <f t="shared" si="1"/>
        <v>3980</v>
      </c>
      <c r="F9" s="624">
        <v>45.54</v>
      </c>
      <c r="G9" s="624">
        <v>43.99</v>
      </c>
      <c r="H9" s="624">
        <v>45.29</v>
      </c>
      <c r="I9" s="624">
        <v>47.22</v>
      </c>
      <c r="J9" s="204">
        <f t="shared" si="2"/>
        <v>175080</v>
      </c>
      <c r="K9" s="204">
        <f t="shared" si="3"/>
        <v>180254</v>
      </c>
      <c r="L9" s="204">
        <f t="shared" si="4"/>
        <v>187936</v>
      </c>
      <c r="M9" s="203"/>
      <c r="N9" s="203"/>
      <c r="O9" s="383">
        <f>ROUND((C9-M9)/B9,3)</f>
        <v>10.446</v>
      </c>
      <c r="P9" s="160">
        <f t="shared" si="5"/>
        <v>175076.94</v>
      </c>
      <c r="Q9" s="160">
        <f t="shared" si="6"/>
        <v>180250.85</v>
      </c>
      <c r="R9" s="160">
        <f t="shared" si="7"/>
        <v>187932.11</v>
      </c>
    </row>
    <row r="10" spans="1:18" s="18" customFormat="1" ht="25.5" x14ac:dyDescent="0.2">
      <c r="A10" s="46" t="str">
        <f>Водопотребление!A10</f>
        <v>МАОУ СОШ № 2 им.М.И.Грибушина структурное подразделение</v>
      </c>
      <c r="B10" s="253">
        <f>Водопотребление!B10</f>
        <v>288</v>
      </c>
      <c r="C10" s="202">
        <f>'Факт. объемы'!AD11</f>
        <v>390</v>
      </c>
      <c r="D10" s="202">
        <f t="shared" si="0"/>
        <v>390</v>
      </c>
      <c r="E10" s="202">
        <f t="shared" si="1"/>
        <v>390</v>
      </c>
      <c r="F10" s="624">
        <v>45.54</v>
      </c>
      <c r="G10" s="624">
        <v>43.99</v>
      </c>
      <c r="H10" s="624">
        <v>45.29</v>
      </c>
      <c r="I10" s="624">
        <v>47.22</v>
      </c>
      <c r="J10" s="204">
        <f t="shared" si="2"/>
        <v>17156</v>
      </c>
      <c r="K10" s="204">
        <f t="shared" si="3"/>
        <v>17663</v>
      </c>
      <c r="L10" s="204">
        <f t="shared" si="4"/>
        <v>18416</v>
      </c>
      <c r="M10" s="680"/>
      <c r="N10" s="678"/>
      <c r="O10" s="383">
        <f>ROUND((C10-M10)/B10,3)</f>
        <v>1.3540000000000001</v>
      </c>
      <c r="P10" s="160">
        <f t="shared" si="5"/>
        <v>17153.990000000002</v>
      </c>
      <c r="Q10" s="160">
        <f t="shared" si="6"/>
        <v>17660.93</v>
      </c>
      <c r="R10" s="160">
        <f t="shared" si="7"/>
        <v>18413.53</v>
      </c>
    </row>
    <row r="11" spans="1:18" s="18" customFormat="1" x14ac:dyDescent="0.2">
      <c r="A11" s="38" t="str">
        <f>Водопотребление!A11</f>
        <v>МАОУ СОШ № 10 структурное подразделение</v>
      </c>
      <c r="B11" s="253">
        <f>Водопотребление!B11</f>
        <v>262</v>
      </c>
      <c r="C11" s="202">
        <f>'Факт. объемы'!AD12</f>
        <v>1865</v>
      </c>
      <c r="D11" s="202">
        <f t="shared" si="0"/>
        <v>1865</v>
      </c>
      <c r="E11" s="202">
        <f t="shared" si="1"/>
        <v>1865</v>
      </c>
      <c r="F11" s="624">
        <v>45.54</v>
      </c>
      <c r="G11" s="624">
        <v>43.99</v>
      </c>
      <c r="H11" s="624">
        <v>45.29</v>
      </c>
      <c r="I11" s="624">
        <v>47.22</v>
      </c>
      <c r="J11" s="204">
        <f t="shared" si="2"/>
        <v>82041</v>
      </c>
      <c r="K11" s="204">
        <f t="shared" si="3"/>
        <v>84466</v>
      </c>
      <c r="L11" s="204">
        <f t="shared" si="4"/>
        <v>88065</v>
      </c>
      <c r="M11" s="203"/>
      <c r="N11" s="203"/>
      <c r="O11" s="383">
        <f t="shared" ref="O11:O14" si="8">ROUND((C11-M11)/B11,3)</f>
        <v>7.1180000000000003</v>
      </c>
      <c r="P11" s="160">
        <f t="shared" si="5"/>
        <v>82037.649999999994</v>
      </c>
      <c r="Q11" s="160">
        <f t="shared" si="6"/>
        <v>84462.05</v>
      </c>
      <c r="R11" s="160">
        <f t="shared" si="7"/>
        <v>88061.33</v>
      </c>
    </row>
    <row r="12" spans="1:18" s="18" customFormat="1" x14ac:dyDescent="0.2">
      <c r="A12" s="38" t="str">
        <f>Водопотребление!A12</f>
        <v>МАОУ СОШ № 13 структурное подразделение</v>
      </c>
      <c r="B12" s="253">
        <f>Водопотребление!B12</f>
        <v>224</v>
      </c>
      <c r="C12" s="202">
        <f>'Факт. объемы'!AD13</f>
        <v>2280</v>
      </c>
      <c r="D12" s="202">
        <f t="shared" si="0"/>
        <v>2280</v>
      </c>
      <c r="E12" s="202">
        <f t="shared" si="1"/>
        <v>2280</v>
      </c>
      <c r="F12" s="624">
        <v>45.54</v>
      </c>
      <c r="G12" s="624">
        <v>43.99</v>
      </c>
      <c r="H12" s="624">
        <v>45.29</v>
      </c>
      <c r="I12" s="624">
        <v>47.22</v>
      </c>
      <c r="J12" s="204">
        <f t="shared" si="2"/>
        <v>100297</v>
      </c>
      <c r="K12" s="204">
        <f t="shared" si="3"/>
        <v>103261</v>
      </c>
      <c r="L12" s="204">
        <f t="shared" si="4"/>
        <v>107662</v>
      </c>
      <c r="M12" s="203"/>
      <c r="N12" s="203"/>
      <c r="O12" s="383">
        <f t="shared" si="8"/>
        <v>10.179</v>
      </c>
      <c r="P12" s="160">
        <f t="shared" si="5"/>
        <v>100301.42</v>
      </c>
      <c r="Q12" s="160">
        <f t="shared" si="6"/>
        <v>103265.55</v>
      </c>
      <c r="R12" s="160">
        <f t="shared" si="7"/>
        <v>107666.13</v>
      </c>
    </row>
    <row r="13" spans="1:18" s="18" customFormat="1" x14ac:dyDescent="0.2">
      <c r="A13" s="38" t="str">
        <f>Водопотребление!A13</f>
        <v>Гимназия № 16 структурное подразделение</v>
      </c>
      <c r="B13" s="253">
        <f>Водопотребление!B13</f>
        <v>456</v>
      </c>
      <c r="C13" s="202">
        <f>'Факт. объемы'!AD14</f>
        <v>5432</v>
      </c>
      <c r="D13" s="202">
        <f t="shared" si="0"/>
        <v>5432</v>
      </c>
      <c r="E13" s="202">
        <f t="shared" si="1"/>
        <v>5432</v>
      </c>
      <c r="F13" s="624">
        <v>45.54</v>
      </c>
      <c r="G13" s="624">
        <v>43.99</v>
      </c>
      <c r="H13" s="624">
        <v>45.29</v>
      </c>
      <c r="I13" s="624">
        <v>47.22</v>
      </c>
      <c r="J13" s="204">
        <f t="shared" si="2"/>
        <v>238954</v>
      </c>
      <c r="K13" s="204">
        <f t="shared" si="3"/>
        <v>246015</v>
      </c>
      <c r="L13" s="204">
        <f t="shared" si="4"/>
        <v>256499</v>
      </c>
      <c r="M13" s="203"/>
      <c r="N13" s="203"/>
      <c r="O13" s="383">
        <f t="shared" si="8"/>
        <v>11.912000000000001</v>
      </c>
      <c r="P13" s="160">
        <f t="shared" si="5"/>
        <v>238948.05</v>
      </c>
      <c r="Q13" s="160">
        <f t="shared" si="6"/>
        <v>246009.48</v>
      </c>
      <c r="R13" s="160">
        <f t="shared" si="7"/>
        <v>256493</v>
      </c>
    </row>
    <row r="14" spans="1:18" s="18" customFormat="1" ht="26.25" thickBot="1" x14ac:dyDescent="0.25">
      <c r="A14" s="46" t="str">
        <f>Водопотребление!A14</f>
        <v>МАОУ ООШ № 17 с кадетскими классами структурное подразделение</v>
      </c>
      <c r="B14" s="253">
        <f>Водопотребление!B14</f>
        <v>189</v>
      </c>
      <c r="C14" s="202">
        <f>'Факт. объемы'!AD15</f>
        <v>0</v>
      </c>
      <c r="D14" s="202">
        <f t="shared" si="0"/>
        <v>0</v>
      </c>
      <c r="E14" s="202">
        <f t="shared" si="1"/>
        <v>0</v>
      </c>
      <c r="F14" s="624">
        <v>45.54</v>
      </c>
      <c r="G14" s="624">
        <v>43.99</v>
      </c>
      <c r="H14" s="624">
        <v>45.29</v>
      </c>
      <c r="I14" s="624">
        <v>47.22</v>
      </c>
      <c r="J14" s="204">
        <f t="shared" si="2"/>
        <v>0</v>
      </c>
      <c r="K14" s="204">
        <f t="shared" si="3"/>
        <v>0</v>
      </c>
      <c r="L14" s="204">
        <f t="shared" si="4"/>
        <v>0</v>
      </c>
      <c r="M14" s="203"/>
      <c r="N14" s="203"/>
      <c r="O14" s="383">
        <f t="shared" si="8"/>
        <v>0</v>
      </c>
      <c r="P14" s="160">
        <f t="shared" si="5"/>
        <v>0</v>
      </c>
      <c r="Q14" s="160">
        <f>ROUND(B14*H14*O14,2)</f>
        <v>0</v>
      </c>
      <c r="R14" s="160">
        <f t="shared" si="7"/>
        <v>0</v>
      </c>
    </row>
    <row r="15" spans="1:18" s="18" customFormat="1" ht="15.75" customHeight="1" thickBot="1" x14ac:dyDescent="0.25">
      <c r="A15" s="71" t="str">
        <f>Электроэнергия!A15</f>
        <v>Итого</v>
      </c>
      <c r="B15" s="296">
        <f>SUM(B5:B14)</f>
        <v>3498</v>
      </c>
      <c r="C15" s="112">
        <f>SUM(C6:C14)</f>
        <v>28141</v>
      </c>
      <c r="D15" s="112">
        <f>SUM(D6:D14)</f>
        <v>28141</v>
      </c>
      <c r="E15" s="112">
        <f>SUM(E6:E14)</f>
        <v>28141</v>
      </c>
      <c r="F15" s="388">
        <f>ROUND(AVERAGE(F6:F14),2)</f>
        <v>45.54</v>
      </c>
      <c r="G15" s="388">
        <f>ROUND(AVERAGE(G6:G14),2)</f>
        <v>43.99</v>
      </c>
      <c r="H15" s="388">
        <f>ROUND(AVERAGE(H6:H14),2)</f>
        <v>45.29</v>
      </c>
      <c r="I15" s="388">
        <f>ROUND(AVERAGE(I6:I14),2)</f>
        <v>47.22</v>
      </c>
      <c r="J15" s="108">
        <f>SUM(J6:J14)</f>
        <v>1237921</v>
      </c>
      <c r="K15" s="108">
        <f>SUM(K6:K14)</f>
        <v>1274505</v>
      </c>
      <c r="L15" s="108">
        <f>SUM(L6:L14)</f>
        <v>1328819</v>
      </c>
      <c r="M15" s="113">
        <f>SUM(M6:M14)</f>
        <v>0</v>
      </c>
      <c r="N15" s="113">
        <f>SUM(N6:N14)</f>
        <v>0</v>
      </c>
      <c r="O15" s="389">
        <f>ROUND(MEDIAN(O6:O14),3)</f>
        <v>8.3580000000000005</v>
      </c>
      <c r="P15" s="435">
        <f>SUM(P6:P14)</f>
        <v>1237918.1800000002</v>
      </c>
      <c r="Q15" s="435">
        <f>SUM(Q6:Q14)</f>
        <v>1274501.3800000001</v>
      </c>
      <c r="R15" s="445">
        <f>SUM(R6:R14)</f>
        <v>1328813.2999999998</v>
      </c>
    </row>
    <row r="16" spans="1:18" ht="12.75" customHeight="1" x14ac:dyDescent="0.2">
      <c r="J16" s="142"/>
      <c r="K16" s="142"/>
      <c r="L16" s="142"/>
      <c r="N16" s="1058" t="s">
        <v>234</v>
      </c>
      <c r="O16" s="1058"/>
      <c r="P16" s="444">
        <f>ROUND(G15*O15,2)</f>
        <v>367.67</v>
      </c>
      <c r="Q16" s="444">
        <f>ROUND(H15*O15,2)</f>
        <v>378.53</v>
      </c>
      <c r="R16" s="444">
        <f>ROUND(I15*O15,2)</f>
        <v>394.66</v>
      </c>
    </row>
    <row r="17" spans="1:17" x14ac:dyDescent="0.2">
      <c r="P17" s="63"/>
      <c r="Q17" s="63"/>
    </row>
    <row r="18" spans="1:17" x14ac:dyDescent="0.2">
      <c r="A18" s="14" t="s">
        <v>551</v>
      </c>
    </row>
    <row r="19" spans="1:17" ht="4.5" customHeight="1" x14ac:dyDescent="0.2"/>
    <row r="20" spans="1:17" x14ac:dyDescent="0.2">
      <c r="A20" s="1051" t="s">
        <v>552</v>
      </c>
      <c r="B20" s="701" t="s">
        <v>514</v>
      </c>
      <c r="C20" s="702" t="s">
        <v>515</v>
      </c>
      <c r="D20" s="14" t="s">
        <v>562</v>
      </c>
      <c r="E20" s="701" t="s">
        <v>563</v>
      </c>
      <c r="F20" s="702"/>
      <c r="G20" s="702"/>
      <c r="J20" s="78"/>
      <c r="K20" s="78"/>
      <c r="L20" s="78"/>
    </row>
    <row r="21" spans="1:17" x14ac:dyDescent="0.2">
      <c r="A21" s="1051"/>
      <c r="B21" s="1047" t="s">
        <v>516</v>
      </c>
      <c r="C21" s="703" t="s">
        <v>517</v>
      </c>
      <c r="D21" s="703" t="s">
        <v>564</v>
      </c>
      <c r="E21" s="1049" t="s">
        <v>567</v>
      </c>
      <c r="F21" s="1049"/>
      <c r="G21" s="1049"/>
      <c r="N21" s="78"/>
      <c r="O21" s="78"/>
    </row>
    <row r="22" spans="1:17" x14ac:dyDescent="0.2">
      <c r="A22" s="1051"/>
      <c r="B22" s="1048"/>
      <c r="C22" s="702" t="s">
        <v>524</v>
      </c>
      <c r="D22" s="702" t="s">
        <v>565</v>
      </c>
      <c r="E22" s="1050"/>
      <c r="F22" s="1050"/>
      <c r="G22" s="1050"/>
    </row>
    <row r="23" spans="1:17" x14ac:dyDescent="0.2">
      <c r="A23" s="1051"/>
      <c r="B23" s="1047" t="s">
        <v>521</v>
      </c>
      <c r="C23" s="703" t="s">
        <v>522</v>
      </c>
      <c r="D23" s="703" t="s">
        <v>565</v>
      </c>
      <c r="E23" s="1049" t="s">
        <v>568</v>
      </c>
      <c r="F23" s="1049"/>
      <c r="G23" s="1049"/>
    </row>
    <row r="24" spans="1:17" x14ac:dyDescent="0.2">
      <c r="A24" s="1051"/>
      <c r="B24" s="1048"/>
      <c r="C24" s="702" t="s">
        <v>523</v>
      </c>
      <c r="D24" s="702" t="s">
        <v>566</v>
      </c>
      <c r="E24" s="1050"/>
      <c r="F24" s="1050"/>
      <c r="G24" s="1050"/>
    </row>
    <row r="25" spans="1:17" x14ac:dyDescent="0.2">
      <c r="A25" s="1051"/>
      <c r="B25" s="1047" t="s">
        <v>527</v>
      </c>
      <c r="C25" s="703" t="s">
        <v>528</v>
      </c>
      <c r="D25" s="703" t="s">
        <v>566</v>
      </c>
      <c r="E25" s="1049" t="s">
        <v>570</v>
      </c>
      <c r="F25" s="1049"/>
      <c r="G25" s="1049"/>
    </row>
    <row r="26" spans="1:17" x14ac:dyDescent="0.2">
      <c r="A26" s="1051"/>
      <c r="B26" s="1048"/>
      <c r="C26" s="702" t="s">
        <v>529</v>
      </c>
      <c r="D26" s="702" t="s">
        <v>569</v>
      </c>
      <c r="E26" s="1050"/>
      <c r="F26" s="1050"/>
      <c r="G26" s="1050"/>
    </row>
  </sheetData>
  <mergeCells count="27">
    <mergeCell ref="A20:A26"/>
    <mergeCell ref="B21:B22"/>
    <mergeCell ref="E21:G22"/>
    <mergeCell ref="B23:B24"/>
    <mergeCell ref="E23:G24"/>
    <mergeCell ref="B25:B26"/>
    <mergeCell ref="E25:G26"/>
    <mergeCell ref="N16:O16"/>
    <mergeCell ref="A2:A5"/>
    <mergeCell ref="C2:E2"/>
    <mergeCell ref="F2:I2"/>
    <mergeCell ref="F4:I4"/>
    <mergeCell ref="C3:C5"/>
    <mergeCell ref="D3:D5"/>
    <mergeCell ref="E3:E5"/>
    <mergeCell ref="B2:B5"/>
    <mergeCell ref="J2:J5"/>
    <mergeCell ref="K2:K5"/>
    <mergeCell ref="L2:L5"/>
    <mergeCell ref="M2:N3"/>
    <mergeCell ref="A1:R1"/>
    <mergeCell ref="P2:P5"/>
    <mergeCell ref="Q2:Q5"/>
    <mergeCell ref="R2:R5"/>
    <mergeCell ref="M4:M5"/>
    <mergeCell ref="N4:N5"/>
    <mergeCell ref="O2:O5"/>
  </mergeCells>
  <pageMargins left="0.75" right="0.75" top="1" bottom="1" header="0.5" footer="0.5"/>
  <pageSetup paperSize="9" scale="43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T17"/>
  <sheetViews>
    <sheetView zoomScale="110" zoomScaleNormal="110" workbookViewId="0">
      <selection activeCell="I22" sqref="I22"/>
    </sheetView>
  </sheetViews>
  <sheetFormatPr defaultRowHeight="12.75" x14ac:dyDescent="0.2"/>
  <cols>
    <col min="1" max="1" width="34.42578125" style="14" customWidth="1"/>
    <col min="2" max="2" width="12.7109375" style="14" customWidth="1"/>
    <col min="3" max="6" width="12.28515625" style="14" customWidth="1"/>
    <col min="7" max="7" width="12.42578125" style="14" customWidth="1"/>
    <col min="8" max="8" width="12.5703125" style="14" customWidth="1"/>
    <col min="9" max="9" width="13.5703125" style="14" customWidth="1"/>
    <col min="10" max="10" width="15.140625" style="14" customWidth="1"/>
    <col min="11" max="11" width="14.28515625" style="14" customWidth="1"/>
    <col min="12" max="12" width="16.28515625" style="14" customWidth="1"/>
    <col min="13" max="14" width="7.5703125" style="14" customWidth="1"/>
    <col min="15" max="15" width="13" style="14" customWidth="1"/>
    <col min="16" max="18" width="16" style="14" customWidth="1"/>
    <col min="19" max="250" width="9.140625" style="14"/>
    <col min="251" max="251" width="20.7109375" style="14" customWidth="1"/>
    <col min="252" max="252" width="16.42578125" style="14" customWidth="1"/>
    <col min="253" max="253" width="13.28515625" style="14" customWidth="1"/>
    <col min="254" max="255" width="13.140625" style="14" customWidth="1"/>
    <col min="256" max="259" width="12.28515625" style="14" customWidth="1"/>
    <col min="260" max="260" width="16.28515625" style="14" customWidth="1"/>
    <col min="261" max="262" width="15.28515625" style="14" customWidth="1"/>
    <col min="263" max="265" width="18" style="14" customWidth="1"/>
    <col min="266" max="266" width="16.28515625" style="14" customWidth="1"/>
    <col min="267" max="267" width="14" style="14" customWidth="1"/>
    <col min="268" max="268" width="15.28515625" style="14" customWidth="1"/>
    <col min="269" max="269" width="14.7109375" style="14" customWidth="1"/>
    <col min="270" max="270" width="16.42578125" style="14" customWidth="1"/>
    <col min="271" max="506" width="9.140625" style="14"/>
    <col min="507" max="507" width="20.7109375" style="14" customWidth="1"/>
    <col min="508" max="508" width="16.42578125" style="14" customWidth="1"/>
    <col min="509" max="509" width="13.28515625" style="14" customWidth="1"/>
    <col min="510" max="511" width="13.140625" style="14" customWidth="1"/>
    <col min="512" max="515" width="12.28515625" style="14" customWidth="1"/>
    <col min="516" max="516" width="16.28515625" style="14" customWidth="1"/>
    <col min="517" max="518" width="15.28515625" style="14" customWidth="1"/>
    <col min="519" max="521" width="18" style="14" customWidth="1"/>
    <col min="522" max="522" width="16.28515625" style="14" customWidth="1"/>
    <col min="523" max="523" width="14" style="14" customWidth="1"/>
    <col min="524" max="524" width="15.28515625" style="14" customWidth="1"/>
    <col min="525" max="525" width="14.7109375" style="14" customWidth="1"/>
    <col min="526" max="526" width="16.42578125" style="14" customWidth="1"/>
    <col min="527" max="762" width="9.140625" style="14"/>
    <col min="763" max="763" width="20.7109375" style="14" customWidth="1"/>
    <col min="764" max="764" width="16.42578125" style="14" customWidth="1"/>
    <col min="765" max="765" width="13.28515625" style="14" customWidth="1"/>
    <col min="766" max="767" width="13.140625" style="14" customWidth="1"/>
    <col min="768" max="771" width="12.28515625" style="14" customWidth="1"/>
    <col min="772" max="772" width="16.28515625" style="14" customWidth="1"/>
    <col min="773" max="774" width="15.28515625" style="14" customWidth="1"/>
    <col min="775" max="777" width="18" style="14" customWidth="1"/>
    <col min="778" max="778" width="16.28515625" style="14" customWidth="1"/>
    <col min="779" max="779" width="14" style="14" customWidth="1"/>
    <col min="780" max="780" width="15.28515625" style="14" customWidth="1"/>
    <col min="781" max="781" width="14.7109375" style="14" customWidth="1"/>
    <col min="782" max="782" width="16.42578125" style="14" customWidth="1"/>
    <col min="783" max="1018" width="9.140625" style="14"/>
    <col min="1019" max="1019" width="20.7109375" style="14" customWidth="1"/>
    <col min="1020" max="1020" width="16.42578125" style="14" customWidth="1"/>
    <col min="1021" max="1021" width="13.28515625" style="14" customWidth="1"/>
    <col min="1022" max="1023" width="13.140625" style="14" customWidth="1"/>
    <col min="1024" max="1027" width="12.28515625" style="14" customWidth="1"/>
    <col min="1028" max="1028" width="16.28515625" style="14" customWidth="1"/>
    <col min="1029" max="1030" width="15.28515625" style="14" customWidth="1"/>
    <col min="1031" max="1033" width="18" style="14" customWidth="1"/>
    <col min="1034" max="1034" width="16.28515625" style="14" customWidth="1"/>
    <col min="1035" max="1035" width="14" style="14" customWidth="1"/>
    <col min="1036" max="1036" width="15.28515625" style="14" customWidth="1"/>
    <col min="1037" max="1037" width="14.7109375" style="14" customWidth="1"/>
    <col min="1038" max="1038" width="16.42578125" style="14" customWidth="1"/>
    <col min="1039" max="1274" width="9.140625" style="14"/>
    <col min="1275" max="1275" width="20.7109375" style="14" customWidth="1"/>
    <col min="1276" max="1276" width="16.42578125" style="14" customWidth="1"/>
    <col min="1277" max="1277" width="13.28515625" style="14" customWidth="1"/>
    <col min="1278" max="1279" width="13.140625" style="14" customWidth="1"/>
    <col min="1280" max="1283" width="12.28515625" style="14" customWidth="1"/>
    <col min="1284" max="1284" width="16.28515625" style="14" customWidth="1"/>
    <col min="1285" max="1286" width="15.28515625" style="14" customWidth="1"/>
    <col min="1287" max="1289" width="18" style="14" customWidth="1"/>
    <col min="1290" max="1290" width="16.28515625" style="14" customWidth="1"/>
    <col min="1291" max="1291" width="14" style="14" customWidth="1"/>
    <col min="1292" max="1292" width="15.28515625" style="14" customWidth="1"/>
    <col min="1293" max="1293" width="14.7109375" style="14" customWidth="1"/>
    <col min="1294" max="1294" width="16.42578125" style="14" customWidth="1"/>
    <col min="1295" max="1530" width="9.140625" style="14"/>
    <col min="1531" max="1531" width="20.7109375" style="14" customWidth="1"/>
    <col min="1532" max="1532" width="16.42578125" style="14" customWidth="1"/>
    <col min="1533" max="1533" width="13.28515625" style="14" customWidth="1"/>
    <col min="1534" max="1535" width="13.140625" style="14" customWidth="1"/>
    <col min="1536" max="1539" width="12.28515625" style="14" customWidth="1"/>
    <col min="1540" max="1540" width="16.28515625" style="14" customWidth="1"/>
    <col min="1541" max="1542" width="15.28515625" style="14" customWidth="1"/>
    <col min="1543" max="1545" width="18" style="14" customWidth="1"/>
    <col min="1546" max="1546" width="16.28515625" style="14" customWidth="1"/>
    <col min="1547" max="1547" width="14" style="14" customWidth="1"/>
    <col min="1548" max="1548" width="15.28515625" style="14" customWidth="1"/>
    <col min="1549" max="1549" width="14.7109375" style="14" customWidth="1"/>
    <col min="1550" max="1550" width="16.42578125" style="14" customWidth="1"/>
    <col min="1551" max="1786" width="9.140625" style="14"/>
    <col min="1787" max="1787" width="20.7109375" style="14" customWidth="1"/>
    <col min="1788" max="1788" width="16.42578125" style="14" customWidth="1"/>
    <col min="1789" max="1789" width="13.28515625" style="14" customWidth="1"/>
    <col min="1790" max="1791" width="13.140625" style="14" customWidth="1"/>
    <col min="1792" max="1795" width="12.28515625" style="14" customWidth="1"/>
    <col min="1796" max="1796" width="16.28515625" style="14" customWidth="1"/>
    <col min="1797" max="1798" width="15.28515625" style="14" customWidth="1"/>
    <col min="1799" max="1801" width="18" style="14" customWidth="1"/>
    <col min="1802" max="1802" width="16.28515625" style="14" customWidth="1"/>
    <col min="1803" max="1803" width="14" style="14" customWidth="1"/>
    <col min="1804" max="1804" width="15.28515625" style="14" customWidth="1"/>
    <col min="1805" max="1805" width="14.7109375" style="14" customWidth="1"/>
    <col min="1806" max="1806" width="16.42578125" style="14" customWidth="1"/>
    <col min="1807" max="2042" width="9.140625" style="14"/>
    <col min="2043" max="2043" width="20.7109375" style="14" customWidth="1"/>
    <col min="2044" max="2044" width="16.42578125" style="14" customWidth="1"/>
    <col min="2045" max="2045" width="13.28515625" style="14" customWidth="1"/>
    <col min="2046" max="2047" width="13.140625" style="14" customWidth="1"/>
    <col min="2048" max="2051" width="12.28515625" style="14" customWidth="1"/>
    <col min="2052" max="2052" width="16.28515625" style="14" customWidth="1"/>
    <col min="2053" max="2054" width="15.28515625" style="14" customWidth="1"/>
    <col min="2055" max="2057" width="18" style="14" customWidth="1"/>
    <col min="2058" max="2058" width="16.28515625" style="14" customWidth="1"/>
    <col min="2059" max="2059" width="14" style="14" customWidth="1"/>
    <col min="2060" max="2060" width="15.28515625" style="14" customWidth="1"/>
    <col min="2061" max="2061" width="14.7109375" style="14" customWidth="1"/>
    <col min="2062" max="2062" width="16.42578125" style="14" customWidth="1"/>
    <col min="2063" max="2298" width="9.140625" style="14"/>
    <col min="2299" max="2299" width="20.7109375" style="14" customWidth="1"/>
    <col min="2300" max="2300" width="16.42578125" style="14" customWidth="1"/>
    <col min="2301" max="2301" width="13.28515625" style="14" customWidth="1"/>
    <col min="2302" max="2303" width="13.140625" style="14" customWidth="1"/>
    <col min="2304" max="2307" width="12.28515625" style="14" customWidth="1"/>
    <col min="2308" max="2308" width="16.28515625" style="14" customWidth="1"/>
    <col min="2309" max="2310" width="15.28515625" style="14" customWidth="1"/>
    <col min="2311" max="2313" width="18" style="14" customWidth="1"/>
    <col min="2314" max="2314" width="16.28515625" style="14" customWidth="1"/>
    <col min="2315" max="2315" width="14" style="14" customWidth="1"/>
    <col min="2316" max="2316" width="15.28515625" style="14" customWidth="1"/>
    <col min="2317" max="2317" width="14.7109375" style="14" customWidth="1"/>
    <col min="2318" max="2318" width="16.42578125" style="14" customWidth="1"/>
    <col min="2319" max="2554" width="9.140625" style="14"/>
    <col min="2555" max="2555" width="20.7109375" style="14" customWidth="1"/>
    <col min="2556" max="2556" width="16.42578125" style="14" customWidth="1"/>
    <col min="2557" max="2557" width="13.28515625" style="14" customWidth="1"/>
    <col min="2558" max="2559" width="13.140625" style="14" customWidth="1"/>
    <col min="2560" max="2563" width="12.28515625" style="14" customWidth="1"/>
    <col min="2564" max="2564" width="16.28515625" style="14" customWidth="1"/>
    <col min="2565" max="2566" width="15.28515625" style="14" customWidth="1"/>
    <col min="2567" max="2569" width="18" style="14" customWidth="1"/>
    <col min="2570" max="2570" width="16.28515625" style="14" customWidth="1"/>
    <col min="2571" max="2571" width="14" style="14" customWidth="1"/>
    <col min="2572" max="2572" width="15.28515625" style="14" customWidth="1"/>
    <col min="2573" max="2573" width="14.7109375" style="14" customWidth="1"/>
    <col min="2574" max="2574" width="16.42578125" style="14" customWidth="1"/>
    <col min="2575" max="2810" width="9.140625" style="14"/>
    <col min="2811" max="2811" width="20.7109375" style="14" customWidth="1"/>
    <col min="2812" max="2812" width="16.42578125" style="14" customWidth="1"/>
    <col min="2813" max="2813" width="13.28515625" style="14" customWidth="1"/>
    <col min="2814" max="2815" width="13.140625" style="14" customWidth="1"/>
    <col min="2816" max="2819" width="12.28515625" style="14" customWidth="1"/>
    <col min="2820" max="2820" width="16.28515625" style="14" customWidth="1"/>
    <col min="2821" max="2822" width="15.28515625" style="14" customWidth="1"/>
    <col min="2823" max="2825" width="18" style="14" customWidth="1"/>
    <col min="2826" max="2826" width="16.28515625" style="14" customWidth="1"/>
    <col min="2827" max="2827" width="14" style="14" customWidth="1"/>
    <col min="2828" max="2828" width="15.28515625" style="14" customWidth="1"/>
    <col min="2829" max="2829" width="14.7109375" style="14" customWidth="1"/>
    <col min="2830" max="2830" width="16.42578125" style="14" customWidth="1"/>
    <col min="2831" max="3066" width="9.140625" style="14"/>
    <col min="3067" max="3067" width="20.7109375" style="14" customWidth="1"/>
    <col min="3068" max="3068" width="16.42578125" style="14" customWidth="1"/>
    <col min="3069" max="3069" width="13.28515625" style="14" customWidth="1"/>
    <col min="3070" max="3071" width="13.140625" style="14" customWidth="1"/>
    <col min="3072" max="3075" width="12.28515625" style="14" customWidth="1"/>
    <col min="3076" max="3076" width="16.28515625" style="14" customWidth="1"/>
    <col min="3077" max="3078" width="15.28515625" style="14" customWidth="1"/>
    <col min="3079" max="3081" width="18" style="14" customWidth="1"/>
    <col min="3082" max="3082" width="16.28515625" style="14" customWidth="1"/>
    <col min="3083" max="3083" width="14" style="14" customWidth="1"/>
    <col min="3084" max="3084" width="15.28515625" style="14" customWidth="1"/>
    <col min="3085" max="3085" width="14.7109375" style="14" customWidth="1"/>
    <col min="3086" max="3086" width="16.42578125" style="14" customWidth="1"/>
    <col min="3087" max="3322" width="9.140625" style="14"/>
    <col min="3323" max="3323" width="20.7109375" style="14" customWidth="1"/>
    <col min="3324" max="3324" width="16.42578125" style="14" customWidth="1"/>
    <col min="3325" max="3325" width="13.28515625" style="14" customWidth="1"/>
    <col min="3326" max="3327" width="13.140625" style="14" customWidth="1"/>
    <col min="3328" max="3331" width="12.28515625" style="14" customWidth="1"/>
    <col min="3332" max="3332" width="16.28515625" style="14" customWidth="1"/>
    <col min="3333" max="3334" width="15.28515625" style="14" customWidth="1"/>
    <col min="3335" max="3337" width="18" style="14" customWidth="1"/>
    <col min="3338" max="3338" width="16.28515625" style="14" customWidth="1"/>
    <col min="3339" max="3339" width="14" style="14" customWidth="1"/>
    <col min="3340" max="3340" width="15.28515625" style="14" customWidth="1"/>
    <col min="3341" max="3341" width="14.7109375" style="14" customWidth="1"/>
    <col min="3342" max="3342" width="16.42578125" style="14" customWidth="1"/>
    <col min="3343" max="3578" width="9.140625" style="14"/>
    <col min="3579" max="3579" width="20.7109375" style="14" customWidth="1"/>
    <col min="3580" max="3580" width="16.42578125" style="14" customWidth="1"/>
    <col min="3581" max="3581" width="13.28515625" style="14" customWidth="1"/>
    <col min="3582" max="3583" width="13.140625" style="14" customWidth="1"/>
    <col min="3584" max="3587" width="12.28515625" style="14" customWidth="1"/>
    <col min="3588" max="3588" width="16.28515625" style="14" customWidth="1"/>
    <col min="3589" max="3590" width="15.28515625" style="14" customWidth="1"/>
    <col min="3591" max="3593" width="18" style="14" customWidth="1"/>
    <col min="3594" max="3594" width="16.28515625" style="14" customWidth="1"/>
    <col min="3595" max="3595" width="14" style="14" customWidth="1"/>
    <col min="3596" max="3596" width="15.28515625" style="14" customWidth="1"/>
    <col min="3597" max="3597" width="14.7109375" style="14" customWidth="1"/>
    <col min="3598" max="3598" width="16.42578125" style="14" customWidth="1"/>
    <col min="3599" max="3834" width="9.140625" style="14"/>
    <col min="3835" max="3835" width="20.7109375" style="14" customWidth="1"/>
    <col min="3836" max="3836" width="16.42578125" style="14" customWidth="1"/>
    <col min="3837" max="3837" width="13.28515625" style="14" customWidth="1"/>
    <col min="3838" max="3839" width="13.140625" style="14" customWidth="1"/>
    <col min="3840" max="3843" width="12.28515625" style="14" customWidth="1"/>
    <col min="3844" max="3844" width="16.28515625" style="14" customWidth="1"/>
    <col min="3845" max="3846" width="15.28515625" style="14" customWidth="1"/>
    <col min="3847" max="3849" width="18" style="14" customWidth="1"/>
    <col min="3850" max="3850" width="16.28515625" style="14" customWidth="1"/>
    <col min="3851" max="3851" width="14" style="14" customWidth="1"/>
    <col min="3852" max="3852" width="15.28515625" style="14" customWidth="1"/>
    <col min="3853" max="3853" width="14.7109375" style="14" customWidth="1"/>
    <col min="3854" max="3854" width="16.42578125" style="14" customWidth="1"/>
    <col min="3855" max="4090" width="9.140625" style="14"/>
    <col min="4091" max="4091" width="20.7109375" style="14" customWidth="1"/>
    <col min="4092" max="4092" width="16.42578125" style="14" customWidth="1"/>
    <col min="4093" max="4093" width="13.28515625" style="14" customWidth="1"/>
    <col min="4094" max="4095" width="13.140625" style="14" customWidth="1"/>
    <col min="4096" max="4099" width="12.28515625" style="14" customWidth="1"/>
    <col min="4100" max="4100" width="16.28515625" style="14" customWidth="1"/>
    <col min="4101" max="4102" width="15.28515625" style="14" customWidth="1"/>
    <col min="4103" max="4105" width="18" style="14" customWidth="1"/>
    <col min="4106" max="4106" width="16.28515625" style="14" customWidth="1"/>
    <col min="4107" max="4107" width="14" style="14" customWidth="1"/>
    <col min="4108" max="4108" width="15.28515625" style="14" customWidth="1"/>
    <col min="4109" max="4109" width="14.7109375" style="14" customWidth="1"/>
    <col min="4110" max="4110" width="16.42578125" style="14" customWidth="1"/>
    <col min="4111" max="4346" width="9.140625" style="14"/>
    <col min="4347" max="4347" width="20.7109375" style="14" customWidth="1"/>
    <col min="4348" max="4348" width="16.42578125" style="14" customWidth="1"/>
    <col min="4349" max="4349" width="13.28515625" style="14" customWidth="1"/>
    <col min="4350" max="4351" width="13.140625" style="14" customWidth="1"/>
    <col min="4352" max="4355" width="12.28515625" style="14" customWidth="1"/>
    <col min="4356" max="4356" width="16.28515625" style="14" customWidth="1"/>
    <col min="4357" max="4358" width="15.28515625" style="14" customWidth="1"/>
    <col min="4359" max="4361" width="18" style="14" customWidth="1"/>
    <col min="4362" max="4362" width="16.28515625" style="14" customWidth="1"/>
    <col min="4363" max="4363" width="14" style="14" customWidth="1"/>
    <col min="4364" max="4364" width="15.28515625" style="14" customWidth="1"/>
    <col min="4365" max="4365" width="14.7109375" style="14" customWidth="1"/>
    <col min="4366" max="4366" width="16.42578125" style="14" customWidth="1"/>
    <col min="4367" max="4602" width="9.140625" style="14"/>
    <col min="4603" max="4603" width="20.7109375" style="14" customWidth="1"/>
    <col min="4604" max="4604" width="16.42578125" style="14" customWidth="1"/>
    <col min="4605" max="4605" width="13.28515625" style="14" customWidth="1"/>
    <col min="4606" max="4607" width="13.140625" style="14" customWidth="1"/>
    <col min="4608" max="4611" width="12.28515625" style="14" customWidth="1"/>
    <col min="4612" max="4612" width="16.28515625" style="14" customWidth="1"/>
    <col min="4613" max="4614" width="15.28515625" style="14" customWidth="1"/>
    <col min="4615" max="4617" width="18" style="14" customWidth="1"/>
    <col min="4618" max="4618" width="16.28515625" style="14" customWidth="1"/>
    <col min="4619" max="4619" width="14" style="14" customWidth="1"/>
    <col min="4620" max="4620" width="15.28515625" style="14" customWidth="1"/>
    <col min="4621" max="4621" width="14.7109375" style="14" customWidth="1"/>
    <col min="4622" max="4622" width="16.42578125" style="14" customWidth="1"/>
    <col min="4623" max="4858" width="9.140625" style="14"/>
    <col min="4859" max="4859" width="20.7109375" style="14" customWidth="1"/>
    <col min="4860" max="4860" width="16.42578125" style="14" customWidth="1"/>
    <col min="4861" max="4861" width="13.28515625" style="14" customWidth="1"/>
    <col min="4862" max="4863" width="13.140625" style="14" customWidth="1"/>
    <col min="4864" max="4867" width="12.28515625" style="14" customWidth="1"/>
    <col min="4868" max="4868" width="16.28515625" style="14" customWidth="1"/>
    <col min="4869" max="4870" width="15.28515625" style="14" customWidth="1"/>
    <col min="4871" max="4873" width="18" style="14" customWidth="1"/>
    <col min="4874" max="4874" width="16.28515625" style="14" customWidth="1"/>
    <col min="4875" max="4875" width="14" style="14" customWidth="1"/>
    <col min="4876" max="4876" width="15.28515625" style="14" customWidth="1"/>
    <col min="4877" max="4877" width="14.7109375" style="14" customWidth="1"/>
    <col min="4878" max="4878" width="16.42578125" style="14" customWidth="1"/>
    <col min="4879" max="5114" width="9.140625" style="14"/>
    <col min="5115" max="5115" width="20.7109375" style="14" customWidth="1"/>
    <col min="5116" max="5116" width="16.42578125" style="14" customWidth="1"/>
    <col min="5117" max="5117" width="13.28515625" style="14" customWidth="1"/>
    <col min="5118" max="5119" width="13.140625" style="14" customWidth="1"/>
    <col min="5120" max="5123" width="12.28515625" style="14" customWidth="1"/>
    <col min="5124" max="5124" width="16.28515625" style="14" customWidth="1"/>
    <col min="5125" max="5126" width="15.28515625" style="14" customWidth="1"/>
    <col min="5127" max="5129" width="18" style="14" customWidth="1"/>
    <col min="5130" max="5130" width="16.28515625" style="14" customWidth="1"/>
    <col min="5131" max="5131" width="14" style="14" customWidth="1"/>
    <col min="5132" max="5132" width="15.28515625" style="14" customWidth="1"/>
    <col min="5133" max="5133" width="14.7109375" style="14" customWidth="1"/>
    <col min="5134" max="5134" width="16.42578125" style="14" customWidth="1"/>
    <col min="5135" max="5370" width="9.140625" style="14"/>
    <col min="5371" max="5371" width="20.7109375" style="14" customWidth="1"/>
    <col min="5372" max="5372" width="16.42578125" style="14" customWidth="1"/>
    <col min="5373" max="5373" width="13.28515625" style="14" customWidth="1"/>
    <col min="5374" max="5375" width="13.140625" style="14" customWidth="1"/>
    <col min="5376" max="5379" width="12.28515625" style="14" customWidth="1"/>
    <col min="5380" max="5380" width="16.28515625" style="14" customWidth="1"/>
    <col min="5381" max="5382" width="15.28515625" style="14" customWidth="1"/>
    <col min="5383" max="5385" width="18" style="14" customWidth="1"/>
    <col min="5386" max="5386" width="16.28515625" style="14" customWidth="1"/>
    <col min="5387" max="5387" width="14" style="14" customWidth="1"/>
    <col min="5388" max="5388" width="15.28515625" style="14" customWidth="1"/>
    <col min="5389" max="5389" width="14.7109375" style="14" customWidth="1"/>
    <col min="5390" max="5390" width="16.42578125" style="14" customWidth="1"/>
    <col min="5391" max="5626" width="9.140625" style="14"/>
    <col min="5627" max="5627" width="20.7109375" style="14" customWidth="1"/>
    <col min="5628" max="5628" width="16.42578125" style="14" customWidth="1"/>
    <col min="5629" max="5629" width="13.28515625" style="14" customWidth="1"/>
    <col min="5630" max="5631" width="13.140625" style="14" customWidth="1"/>
    <col min="5632" max="5635" width="12.28515625" style="14" customWidth="1"/>
    <col min="5636" max="5636" width="16.28515625" style="14" customWidth="1"/>
    <col min="5637" max="5638" width="15.28515625" style="14" customWidth="1"/>
    <col min="5639" max="5641" width="18" style="14" customWidth="1"/>
    <col min="5642" max="5642" width="16.28515625" style="14" customWidth="1"/>
    <col min="5643" max="5643" width="14" style="14" customWidth="1"/>
    <col min="5644" max="5644" width="15.28515625" style="14" customWidth="1"/>
    <col min="5645" max="5645" width="14.7109375" style="14" customWidth="1"/>
    <col min="5646" max="5646" width="16.42578125" style="14" customWidth="1"/>
    <col min="5647" max="5882" width="9.140625" style="14"/>
    <col min="5883" max="5883" width="20.7109375" style="14" customWidth="1"/>
    <col min="5884" max="5884" width="16.42578125" style="14" customWidth="1"/>
    <col min="5885" max="5885" width="13.28515625" style="14" customWidth="1"/>
    <col min="5886" max="5887" width="13.140625" style="14" customWidth="1"/>
    <col min="5888" max="5891" width="12.28515625" style="14" customWidth="1"/>
    <col min="5892" max="5892" width="16.28515625" style="14" customWidth="1"/>
    <col min="5893" max="5894" width="15.28515625" style="14" customWidth="1"/>
    <col min="5895" max="5897" width="18" style="14" customWidth="1"/>
    <col min="5898" max="5898" width="16.28515625" style="14" customWidth="1"/>
    <col min="5899" max="5899" width="14" style="14" customWidth="1"/>
    <col min="5900" max="5900" width="15.28515625" style="14" customWidth="1"/>
    <col min="5901" max="5901" width="14.7109375" style="14" customWidth="1"/>
    <col min="5902" max="5902" width="16.42578125" style="14" customWidth="1"/>
    <col min="5903" max="6138" width="9.140625" style="14"/>
    <col min="6139" max="6139" width="20.7109375" style="14" customWidth="1"/>
    <col min="6140" max="6140" width="16.42578125" style="14" customWidth="1"/>
    <col min="6141" max="6141" width="13.28515625" style="14" customWidth="1"/>
    <col min="6142" max="6143" width="13.140625" style="14" customWidth="1"/>
    <col min="6144" max="6147" width="12.28515625" style="14" customWidth="1"/>
    <col min="6148" max="6148" width="16.28515625" style="14" customWidth="1"/>
    <col min="6149" max="6150" width="15.28515625" style="14" customWidth="1"/>
    <col min="6151" max="6153" width="18" style="14" customWidth="1"/>
    <col min="6154" max="6154" width="16.28515625" style="14" customWidth="1"/>
    <col min="6155" max="6155" width="14" style="14" customWidth="1"/>
    <col min="6156" max="6156" width="15.28515625" style="14" customWidth="1"/>
    <col min="6157" max="6157" width="14.7109375" style="14" customWidth="1"/>
    <col min="6158" max="6158" width="16.42578125" style="14" customWidth="1"/>
    <col min="6159" max="6394" width="9.140625" style="14"/>
    <col min="6395" max="6395" width="20.7109375" style="14" customWidth="1"/>
    <col min="6396" max="6396" width="16.42578125" style="14" customWidth="1"/>
    <col min="6397" max="6397" width="13.28515625" style="14" customWidth="1"/>
    <col min="6398" max="6399" width="13.140625" style="14" customWidth="1"/>
    <col min="6400" max="6403" width="12.28515625" style="14" customWidth="1"/>
    <col min="6404" max="6404" width="16.28515625" style="14" customWidth="1"/>
    <col min="6405" max="6406" width="15.28515625" style="14" customWidth="1"/>
    <col min="6407" max="6409" width="18" style="14" customWidth="1"/>
    <col min="6410" max="6410" width="16.28515625" style="14" customWidth="1"/>
    <col min="6411" max="6411" width="14" style="14" customWidth="1"/>
    <col min="6412" max="6412" width="15.28515625" style="14" customWidth="1"/>
    <col min="6413" max="6413" width="14.7109375" style="14" customWidth="1"/>
    <col min="6414" max="6414" width="16.42578125" style="14" customWidth="1"/>
    <col min="6415" max="6650" width="9.140625" style="14"/>
    <col min="6651" max="6651" width="20.7109375" style="14" customWidth="1"/>
    <col min="6652" max="6652" width="16.42578125" style="14" customWidth="1"/>
    <col min="6653" max="6653" width="13.28515625" style="14" customWidth="1"/>
    <col min="6654" max="6655" width="13.140625" style="14" customWidth="1"/>
    <col min="6656" max="6659" width="12.28515625" style="14" customWidth="1"/>
    <col min="6660" max="6660" width="16.28515625" style="14" customWidth="1"/>
    <col min="6661" max="6662" width="15.28515625" style="14" customWidth="1"/>
    <col min="6663" max="6665" width="18" style="14" customWidth="1"/>
    <col min="6666" max="6666" width="16.28515625" style="14" customWidth="1"/>
    <col min="6667" max="6667" width="14" style="14" customWidth="1"/>
    <col min="6668" max="6668" width="15.28515625" style="14" customWidth="1"/>
    <col min="6669" max="6669" width="14.7109375" style="14" customWidth="1"/>
    <col min="6670" max="6670" width="16.42578125" style="14" customWidth="1"/>
    <col min="6671" max="6906" width="9.140625" style="14"/>
    <col min="6907" max="6907" width="20.7109375" style="14" customWidth="1"/>
    <col min="6908" max="6908" width="16.42578125" style="14" customWidth="1"/>
    <col min="6909" max="6909" width="13.28515625" style="14" customWidth="1"/>
    <col min="6910" max="6911" width="13.140625" style="14" customWidth="1"/>
    <col min="6912" max="6915" width="12.28515625" style="14" customWidth="1"/>
    <col min="6916" max="6916" width="16.28515625" style="14" customWidth="1"/>
    <col min="6917" max="6918" width="15.28515625" style="14" customWidth="1"/>
    <col min="6919" max="6921" width="18" style="14" customWidth="1"/>
    <col min="6922" max="6922" width="16.28515625" style="14" customWidth="1"/>
    <col min="6923" max="6923" width="14" style="14" customWidth="1"/>
    <col min="6924" max="6924" width="15.28515625" style="14" customWidth="1"/>
    <col min="6925" max="6925" width="14.7109375" style="14" customWidth="1"/>
    <col min="6926" max="6926" width="16.42578125" style="14" customWidth="1"/>
    <col min="6927" max="7162" width="9.140625" style="14"/>
    <col min="7163" max="7163" width="20.7109375" style="14" customWidth="1"/>
    <col min="7164" max="7164" width="16.42578125" style="14" customWidth="1"/>
    <col min="7165" max="7165" width="13.28515625" style="14" customWidth="1"/>
    <col min="7166" max="7167" width="13.140625" style="14" customWidth="1"/>
    <col min="7168" max="7171" width="12.28515625" style="14" customWidth="1"/>
    <col min="7172" max="7172" width="16.28515625" style="14" customWidth="1"/>
    <col min="7173" max="7174" width="15.28515625" style="14" customWidth="1"/>
    <col min="7175" max="7177" width="18" style="14" customWidth="1"/>
    <col min="7178" max="7178" width="16.28515625" style="14" customWidth="1"/>
    <col min="7179" max="7179" width="14" style="14" customWidth="1"/>
    <col min="7180" max="7180" width="15.28515625" style="14" customWidth="1"/>
    <col min="7181" max="7181" width="14.7109375" style="14" customWidth="1"/>
    <col min="7182" max="7182" width="16.42578125" style="14" customWidth="1"/>
    <col min="7183" max="7418" width="9.140625" style="14"/>
    <col min="7419" max="7419" width="20.7109375" style="14" customWidth="1"/>
    <col min="7420" max="7420" width="16.42578125" style="14" customWidth="1"/>
    <col min="7421" max="7421" width="13.28515625" style="14" customWidth="1"/>
    <col min="7422" max="7423" width="13.140625" style="14" customWidth="1"/>
    <col min="7424" max="7427" width="12.28515625" style="14" customWidth="1"/>
    <col min="7428" max="7428" width="16.28515625" style="14" customWidth="1"/>
    <col min="7429" max="7430" width="15.28515625" style="14" customWidth="1"/>
    <col min="7431" max="7433" width="18" style="14" customWidth="1"/>
    <col min="7434" max="7434" width="16.28515625" style="14" customWidth="1"/>
    <col min="7435" max="7435" width="14" style="14" customWidth="1"/>
    <col min="7436" max="7436" width="15.28515625" style="14" customWidth="1"/>
    <col min="7437" max="7437" width="14.7109375" style="14" customWidth="1"/>
    <col min="7438" max="7438" width="16.42578125" style="14" customWidth="1"/>
    <col min="7439" max="7674" width="9.140625" style="14"/>
    <col min="7675" max="7675" width="20.7109375" style="14" customWidth="1"/>
    <col min="7676" max="7676" width="16.42578125" style="14" customWidth="1"/>
    <col min="7677" max="7677" width="13.28515625" style="14" customWidth="1"/>
    <col min="7678" max="7679" width="13.140625" style="14" customWidth="1"/>
    <col min="7680" max="7683" width="12.28515625" style="14" customWidth="1"/>
    <col min="7684" max="7684" width="16.28515625" style="14" customWidth="1"/>
    <col min="7685" max="7686" width="15.28515625" style="14" customWidth="1"/>
    <col min="7687" max="7689" width="18" style="14" customWidth="1"/>
    <col min="7690" max="7690" width="16.28515625" style="14" customWidth="1"/>
    <col min="7691" max="7691" width="14" style="14" customWidth="1"/>
    <col min="7692" max="7692" width="15.28515625" style="14" customWidth="1"/>
    <col min="7693" max="7693" width="14.7109375" style="14" customWidth="1"/>
    <col min="7694" max="7694" width="16.42578125" style="14" customWidth="1"/>
    <col min="7695" max="7930" width="9.140625" style="14"/>
    <col min="7931" max="7931" width="20.7109375" style="14" customWidth="1"/>
    <col min="7932" max="7932" width="16.42578125" style="14" customWidth="1"/>
    <col min="7933" max="7933" width="13.28515625" style="14" customWidth="1"/>
    <col min="7934" max="7935" width="13.140625" style="14" customWidth="1"/>
    <col min="7936" max="7939" width="12.28515625" style="14" customWidth="1"/>
    <col min="7940" max="7940" width="16.28515625" style="14" customWidth="1"/>
    <col min="7941" max="7942" width="15.28515625" style="14" customWidth="1"/>
    <col min="7943" max="7945" width="18" style="14" customWidth="1"/>
    <col min="7946" max="7946" width="16.28515625" style="14" customWidth="1"/>
    <col min="7947" max="7947" width="14" style="14" customWidth="1"/>
    <col min="7948" max="7948" width="15.28515625" style="14" customWidth="1"/>
    <col min="7949" max="7949" width="14.7109375" style="14" customWidth="1"/>
    <col min="7950" max="7950" width="16.42578125" style="14" customWidth="1"/>
    <col min="7951" max="8186" width="9.140625" style="14"/>
    <col min="8187" max="8187" width="20.7109375" style="14" customWidth="1"/>
    <col min="8188" max="8188" width="16.42578125" style="14" customWidth="1"/>
    <col min="8189" max="8189" width="13.28515625" style="14" customWidth="1"/>
    <col min="8190" max="8191" width="13.140625" style="14" customWidth="1"/>
    <col min="8192" max="8195" width="12.28515625" style="14" customWidth="1"/>
    <col min="8196" max="8196" width="16.28515625" style="14" customWidth="1"/>
    <col min="8197" max="8198" width="15.28515625" style="14" customWidth="1"/>
    <col min="8199" max="8201" width="18" style="14" customWidth="1"/>
    <col min="8202" max="8202" width="16.28515625" style="14" customWidth="1"/>
    <col min="8203" max="8203" width="14" style="14" customWidth="1"/>
    <col min="8204" max="8204" width="15.28515625" style="14" customWidth="1"/>
    <col min="8205" max="8205" width="14.7109375" style="14" customWidth="1"/>
    <col min="8206" max="8206" width="16.42578125" style="14" customWidth="1"/>
    <col min="8207" max="8442" width="9.140625" style="14"/>
    <col min="8443" max="8443" width="20.7109375" style="14" customWidth="1"/>
    <col min="8444" max="8444" width="16.42578125" style="14" customWidth="1"/>
    <col min="8445" max="8445" width="13.28515625" style="14" customWidth="1"/>
    <col min="8446" max="8447" width="13.140625" style="14" customWidth="1"/>
    <col min="8448" max="8451" width="12.28515625" style="14" customWidth="1"/>
    <col min="8452" max="8452" width="16.28515625" style="14" customWidth="1"/>
    <col min="8453" max="8454" width="15.28515625" style="14" customWidth="1"/>
    <col min="8455" max="8457" width="18" style="14" customWidth="1"/>
    <col min="8458" max="8458" width="16.28515625" style="14" customWidth="1"/>
    <col min="8459" max="8459" width="14" style="14" customWidth="1"/>
    <col min="8460" max="8460" width="15.28515625" style="14" customWidth="1"/>
    <col min="8461" max="8461" width="14.7109375" style="14" customWidth="1"/>
    <col min="8462" max="8462" width="16.42578125" style="14" customWidth="1"/>
    <col min="8463" max="8698" width="9.140625" style="14"/>
    <col min="8699" max="8699" width="20.7109375" style="14" customWidth="1"/>
    <col min="8700" max="8700" width="16.42578125" style="14" customWidth="1"/>
    <col min="8701" max="8701" width="13.28515625" style="14" customWidth="1"/>
    <col min="8702" max="8703" width="13.140625" style="14" customWidth="1"/>
    <col min="8704" max="8707" width="12.28515625" style="14" customWidth="1"/>
    <col min="8708" max="8708" width="16.28515625" style="14" customWidth="1"/>
    <col min="8709" max="8710" width="15.28515625" style="14" customWidth="1"/>
    <col min="8711" max="8713" width="18" style="14" customWidth="1"/>
    <col min="8714" max="8714" width="16.28515625" style="14" customWidth="1"/>
    <col min="8715" max="8715" width="14" style="14" customWidth="1"/>
    <col min="8716" max="8716" width="15.28515625" style="14" customWidth="1"/>
    <col min="8717" max="8717" width="14.7109375" style="14" customWidth="1"/>
    <col min="8718" max="8718" width="16.42578125" style="14" customWidth="1"/>
    <col min="8719" max="8954" width="9.140625" style="14"/>
    <col min="8955" max="8955" width="20.7109375" style="14" customWidth="1"/>
    <col min="8956" max="8956" width="16.42578125" style="14" customWidth="1"/>
    <col min="8957" max="8957" width="13.28515625" style="14" customWidth="1"/>
    <col min="8958" max="8959" width="13.140625" style="14" customWidth="1"/>
    <col min="8960" max="8963" width="12.28515625" style="14" customWidth="1"/>
    <col min="8964" max="8964" width="16.28515625" style="14" customWidth="1"/>
    <col min="8965" max="8966" width="15.28515625" style="14" customWidth="1"/>
    <col min="8967" max="8969" width="18" style="14" customWidth="1"/>
    <col min="8970" max="8970" width="16.28515625" style="14" customWidth="1"/>
    <col min="8971" max="8971" width="14" style="14" customWidth="1"/>
    <col min="8972" max="8972" width="15.28515625" style="14" customWidth="1"/>
    <col min="8973" max="8973" width="14.7109375" style="14" customWidth="1"/>
    <col min="8974" max="8974" width="16.42578125" style="14" customWidth="1"/>
    <col min="8975" max="9210" width="9.140625" style="14"/>
    <col min="9211" max="9211" width="20.7109375" style="14" customWidth="1"/>
    <col min="9212" max="9212" width="16.42578125" style="14" customWidth="1"/>
    <col min="9213" max="9213" width="13.28515625" style="14" customWidth="1"/>
    <col min="9214" max="9215" width="13.140625" style="14" customWidth="1"/>
    <col min="9216" max="9219" width="12.28515625" style="14" customWidth="1"/>
    <col min="9220" max="9220" width="16.28515625" style="14" customWidth="1"/>
    <col min="9221" max="9222" width="15.28515625" style="14" customWidth="1"/>
    <col min="9223" max="9225" width="18" style="14" customWidth="1"/>
    <col min="9226" max="9226" width="16.28515625" style="14" customWidth="1"/>
    <col min="9227" max="9227" width="14" style="14" customWidth="1"/>
    <col min="9228" max="9228" width="15.28515625" style="14" customWidth="1"/>
    <col min="9229" max="9229" width="14.7109375" style="14" customWidth="1"/>
    <col min="9230" max="9230" width="16.42578125" style="14" customWidth="1"/>
    <col min="9231" max="9466" width="9.140625" style="14"/>
    <col min="9467" max="9467" width="20.7109375" style="14" customWidth="1"/>
    <col min="9468" max="9468" width="16.42578125" style="14" customWidth="1"/>
    <col min="9469" max="9469" width="13.28515625" style="14" customWidth="1"/>
    <col min="9470" max="9471" width="13.140625" style="14" customWidth="1"/>
    <col min="9472" max="9475" width="12.28515625" style="14" customWidth="1"/>
    <col min="9476" max="9476" width="16.28515625" style="14" customWidth="1"/>
    <col min="9477" max="9478" width="15.28515625" style="14" customWidth="1"/>
    <col min="9479" max="9481" width="18" style="14" customWidth="1"/>
    <col min="9482" max="9482" width="16.28515625" style="14" customWidth="1"/>
    <col min="9483" max="9483" width="14" style="14" customWidth="1"/>
    <col min="9484" max="9484" width="15.28515625" style="14" customWidth="1"/>
    <col min="9485" max="9485" width="14.7109375" style="14" customWidth="1"/>
    <col min="9486" max="9486" width="16.42578125" style="14" customWidth="1"/>
    <col min="9487" max="9722" width="9.140625" style="14"/>
    <col min="9723" max="9723" width="20.7109375" style="14" customWidth="1"/>
    <col min="9724" max="9724" width="16.42578125" style="14" customWidth="1"/>
    <col min="9725" max="9725" width="13.28515625" style="14" customWidth="1"/>
    <col min="9726" max="9727" width="13.140625" style="14" customWidth="1"/>
    <col min="9728" max="9731" width="12.28515625" style="14" customWidth="1"/>
    <col min="9732" max="9732" width="16.28515625" style="14" customWidth="1"/>
    <col min="9733" max="9734" width="15.28515625" style="14" customWidth="1"/>
    <col min="9735" max="9737" width="18" style="14" customWidth="1"/>
    <col min="9738" max="9738" width="16.28515625" style="14" customWidth="1"/>
    <col min="9739" max="9739" width="14" style="14" customWidth="1"/>
    <col min="9740" max="9740" width="15.28515625" style="14" customWidth="1"/>
    <col min="9741" max="9741" width="14.7109375" style="14" customWidth="1"/>
    <col min="9742" max="9742" width="16.42578125" style="14" customWidth="1"/>
    <col min="9743" max="9978" width="9.140625" style="14"/>
    <col min="9979" max="9979" width="20.7109375" style="14" customWidth="1"/>
    <col min="9980" max="9980" width="16.42578125" style="14" customWidth="1"/>
    <col min="9981" max="9981" width="13.28515625" style="14" customWidth="1"/>
    <col min="9982" max="9983" width="13.140625" style="14" customWidth="1"/>
    <col min="9984" max="9987" width="12.28515625" style="14" customWidth="1"/>
    <col min="9988" max="9988" width="16.28515625" style="14" customWidth="1"/>
    <col min="9989" max="9990" width="15.28515625" style="14" customWidth="1"/>
    <col min="9991" max="9993" width="18" style="14" customWidth="1"/>
    <col min="9994" max="9994" width="16.28515625" style="14" customWidth="1"/>
    <col min="9995" max="9995" width="14" style="14" customWidth="1"/>
    <col min="9996" max="9996" width="15.28515625" style="14" customWidth="1"/>
    <col min="9997" max="9997" width="14.7109375" style="14" customWidth="1"/>
    <col min="9998" max="9998" width="16.42578125" style="14" customWidth="1"/>
    <col min="9999" max="10234" width="9.140625" style="14"/>
    <col min="10235" max="10235" width="20.7109375" style="14" customWidth="1"/>
    <col min="10236" max="10236" width="16.42578125" style="14" customWidth="1"/>
    <col min="10237" max="10237" width="13.28515625" style="14" customWidth="1"/>
    <col min="10238" max="10239" width="13.140625" style="14" customWidth="1"/>
    <col min="10240" max="10243" width="12.28515625" style="14" customWidth="1"/>
    <col min="10244" max="10244" width="16.28515625" style="14" customWidth="1"/>
    <col min="10245" max="10246" width="15.28515625" style="14" customWidth="1"/>
    <col min="10247" max="10249" width="18" style="14" customWidth="1"/>
    <col min="10250" max="10250" width="16.28515625" style="14" customWidth="1"/>
    <col min="10251" max="10251" width="14" style="14" customWidth="1"/>
    <col min="10252" max="10252" width="15.28515625" style="14" customWidth="1"/>
    <col min="10253" max="10253" width="14.7109375" style="14" customWidth="1"/>
    <col min="10254" max="10254" width="16.42578125" style="14" customWidth="1"/>
    <col min="10255" max="10490" width="9.140625" style="14"/>
    <col min="10491" max="10491" width="20.7109375" style="14" customWidth="1"/>
    <col min="10492" max="10492" width="16.42578125" style="14" customWidth="1"/>
    <col min="10493" max="10493" width="13.28515625" style="14" customWidth="1"/>
    <col min="10494" max="10495" width="13.140625" style="14" customWidth="1"/>
    <col min="10496" max="10499" width="12.28515625" style="14" customWidth="1"/>
    <col min="10500" max="10500" width="16.28515625" style="14" customWidth="1"/>
    <col min="10501" max="10502" width="15.28515625" style="14" customWidth="1"/>
    <col min="10503" max="10505" width="18" style="14" customWidth="1"/>
    <col min="10506" max="10506" width="16.28515625" style="14" customWidth="1"/>
    <col min="10507" max="10507" width="14" style="14" customWidth="1"/>
    <col min="10508" max="10508" width="15.28515625" style="14" customWidth="1"/>
    <col min="10509" max="10509" width="14.7109375" style="14" customWidth="1"/>
    <col min="10510" max="10510" width="16.42578125" style="14" customWidth="1"/>
    <col min="10511" max="10746" width="9.140625" style="14"/>
    <col min="10747" max="10747" width="20.7109375" style="14" customWidth="1"/>
    <col min="10748" max="10748" width="16.42578125" style="14" customWidth="1"/>
    <col min="10749" max="10749" width="13.28515625" style="14" customWidth="1"/>
    <col min="10750" max="10751" width="13.140625" style="14" customWidth="1"/>
    <col min="10752" max="10755" width="12.28515625" style="14" customWidth="1"/>
    <col min="10756" max="10756" width="16.28515625" style="14" customWidth="1"/>
    <col min="10757" max="10758" width="15.28515625" style="14" customWidth="1"/>
    <col min="10759" max="10761" width="18" style="14" customWidth="1"/>
    <col min="10762" max="10762" width="16.28515625" style="14" customWidth="1"/>
    <col min="10763" max="10763" width="14" style="14" customWidth="1"/>
    <col min="10764" max="10764" width="15.28515625" style="14" customWidth="1"/>
    <col min="10765" max="10765" width="14.7109375" style="14" customWidth="1"/>
    <col min="10766" max="10766" width="16.42578125" style="14" customWidth="1"/>
    <col min="10767" max="11002" width="9.140625" style="14"/>
    <col min="11003" max="11003" width="20.7109375" style="14" customWidth="1"/>
    <col min="11004" max="11004" width="16.42578125" style="14" customWidth="1"/>
    <col min="11005" max="11005" width="13.28515625" style="14" customWidth="1"/>
    <col min="11006" max="11007" width="13.140625" style="14" customWidth="1"/>
    <col min="11008" max="11011" width="12.28515625" style="14" customWidth="1"/>
    <col min="11012" max="11012" width="16.28515625" style="14" customWidth="1"/>
    <col min="11013" max="11014" width="15.28515625" style="14" customWidth="1"/>
    <col min="11015" max="11017" width="18" style="14" customWidth="1"/>
    <col min="11018" max="11018" width="16.28515625" style="14" customWidth="1"/>
    <col min="11019" max="11019" width="14" style="14" customWidth="1"/>
    <col min="11020" max="11020" width="15.28515625" style="14" customWidth="1"/>
    <col min="11021" max="11021" width="14.7109375" style="14" customWidth="1"/>
    <col min="11022" max="11022" width="16.42578125" style="14" customWidth="1"/>
    <col min="11023" max="11258" width="9.140625" style="14"/>
    <col min="11259" max="11259" width="20.7109375" style="14" customWidth="1"/>
    <col min="11260" max="11260" width="16.42578125" style="14" customWidth="1"/>
    <col min="11261" max="11261" width="13.28515625" style="14" customWidth="1"/>
    <col min="11262" max="11263" width="13.140625" style="14" customWidth="1"/>
    <col min="11264" max="11267" width="12.28515625" style="14" customWidth="1"/>
    <col min="11268" max="11268" width="16.28515625" style="14" customWidth="1"/>
    <col min="11269" max="11270" width="15.28515625" style="14" customWidth="1"/>
    <col min="11271" max="11273" width="18" style="14" customWidth="1"/>
    <col min="11274" max="11274" width="16.28515625" style="14" customWidth="1"/>
    <col min="11275" max="11275" width="14" style="14" customWidth="1"/>
    <col min="11276" max="11276" width="15.28515625" style="14" customWidth="1"/>
    <col min="11277" max="11277" width="14.7109375" style="14" customWidth="1"/>
    <col min="11278" max="11278" width="16.42578125" style="14" customWidth="1"/>
    <col min="11279" max="11514" width="9.140625" style="14"/>
    <col min="11515" max="11515" width="20.7109375" style="14" customWidth="1"/>
    <col min="11516" max="11516" width="16.42578125" style="14" customWidth="1"/>
    <col min="11517" max="11517" width="13.28515625" style="14" customWidth="1"/>
    <col min="11518" max="11519" width="13.140625" style="14" customWidth="1"/>
    <col min="11520" max="11523" width="12.28515625" style="14" customWidth="1"/>
    <col min="11524" max="11524" width="16.28515625" style="14" customWidth="1"/>
    <col min="11525" max="11526" width="15.28515625" style="14" customWidth="1"/>
    <col min="11527" max="11529" width="18" style="14" customWidth="1"/>
    <col min="11530" max="11530" width="16.28515625" style="14" customWidth="1"/>
    <col min="11531" max="11531" width="14" style="14" customWidth="1"/>
    <col min="11532" max="11532" width="15.28515625" style="14" customWidth="1"/>
    <col min="11533" max="11533" width="14.7109375" style="14" customWidth="1"/>
    <col min="11534" max="11534" width="16.42578125" style="14" customWidth="1"/>
    <col min="11535" max="11770" width="9.140625" style="14"/>
    <col min="11771" max="11771" width="20.7109375" style="14" customWidth="1"/>
    <col min="11772" max="11772" width="16.42578125" style="14" customWidth="1"/>
    <col min="11773" max="11773" width="13.28515625" style="14" customWidth="1"/>
    <col min="11774" max="11775" width="13.140625" style="14" customWidth="1"/>
    <col min="11776" max="11779" width="12.28515625" style="14" customWidth="1"/>
    <col min="11780" max="11780" width="16.28515625" style="14" customWidth="1"/>
    <col min="11781" max="11782" width="15.28515625" style="14" customWidth="1"/>
    <col min="11783" max="11785" width="18" style="14" customWidth="1"/>
    <col min="11786" max="11786" width="16.28515625" style="14" customWidth="1"/>
    <col min="11787" max="11787" width="14" style="14" customWidth="1"/>
    <col min="11788" max="11788" width="15.28515625" style="14" customWidth="1"/>
    <col min="11789" max="11789" width="14.7109375" style="14" customWidth="1"/>
    <col min="11790" max="11790" width="16.42578125" style="14" customWidth="1"/>
    <col min="11791" max="12026" width="9.140625" style="14"/>
    <col min="12027" max="12027" width="20.7109375" style="14" customWidth="1"/>
    <col min="12028" max="12028" width="16.42578125" style="14" customWidth="1"/>
    <col min="12029" max="12029" width="13.28515625" style="14" customWidth="1"/>
    <col min="12030" max="12031" width="13.140625" style="14" customWidth="1"/>
    <col min="12032" max="12035" width="12.28515625" style="14" customWidth="1"/>
    <col min="12036" max="12036" width="16.28515625" style="14" customWidth="1"/>
    <col min="12037" max="12038" width="15.28515625" style="14" customWidth="1"/>
    <col min="12039" max="12041" width="18" style="14" customWidth="1"/>
    <col min="12042" max="12042" width="16.28515625" style="14" customWidth="1"/>
    <col min="12043" max="12043" width="14" style="14" customWidth="1"/>
    <col min="12044" max="12044" width="15.28515625" style="14" customWidth="1"/>
    <col min="12045" max="12045" width="14.7109375" style="14" customWidth="1"/>
    <col min="12046" max="12046" width="16.42578125" style="14" customWidth="1"/>
    <col min="12047" max="12282" width="9.140625" style="14"/>
    <col min="12283" max="12283" width="20.7109375" style="14" customWidth="1"/>
    <col min="12284" max="12284" width="16.42578125" style="14" customWidth="1"/>
    <col min="12285" max="12285" width="13.28515625" style="14" customWidth="1"/>
    <col min="12286" max="12287" width="13.140625" style="14" customWidth="1"/>
    <col min="12288" max="12291" width="12.28515625" style="14" customWidth="1"/>
    <col min="12292" max="12292" width="16.28515625" style="14" customWidth="1"/>
    <col min="12293" max="12294" width="15.28515625" style="14" customWidth="1"/>
    <col min="12295" max="12297" width="18" style="14" customWidth="1"/>
    <col min="12298" max="12298" width="16.28515625" style="14" customWidth="1"/>
    <col min="12299" max="12299" width="14" style="14" customWidth="1"/>
    <col min="12300" max="12300" width="15.28515625" style="14" customWidth="1"/>
    <col min="12301" max="12301" width="14.7109375" style="14" customWidth="1"/>
    <col min="12302" max="12302" width="16.42578125" style="14" customWidth="1"/>
    <col min="12303" max="12538" width="9.140625" style="14"/>
    <col min="12539" max="12539" width="20.7109375" style="14" customWidth="1"/>
    <col min="12540" max="12540" width="16.42578125" style="14" customWidth="1"/>
    <col min="12541" max="12541" width="13.28515625" style="14" customWidth="1"/>
    <col min="12542" max="12543" width="13.140625" style="14" customWidth="1"/>
    <col min="12544" max="12547" width="12.28515625" style="14" customWidth="1"/>
    <col min="12548" max="12548" width="16.28515625" style="14" customWidth="1"/>
    <col min="12549" max="12550" width="15.28515625" style="14" customWidth="1"/>
    <col min="12551" max="12553" width="18" style="14" customWidth="1"/>
    <col min="12554" max="12554" width="16.28515625" style="14" customWidth="1"/>
    <col min="12555" max="12555" width="14" style="14" customWidth="1"/>
    <col min="12556" max="12556" width="15.28515625" style="14" customWidth="1"/>
    <col min="12557" max="12557" width="14.7109375" style="14" customWidth="1"/>
    <col min="12558" max="12558" width="16.42578125" style="14" customWidth="1"/>
    <col min="12559" max="12794" width="9.140625" style="14"/>
    <col min="12795" max="12795" width="20.7109375" style="14" customWidth="1"/>
    <col min="12796" max="12796" width="16.42578125" style="14" customWidth="1"/>
    <col min="12797" max="12797" width="13.28515625" style="14" customWidth="1"/>
    <col min="12798" max="12799" width="13.140625" style="14" customWidth="1"/>
    <col min="12800" max="12803" width="12.28515625" style="14" customWidth="1"/>
    <col min="12804" max="12804" width="16.28515625" style="14" customWidth="1"/>
    <col min="12805" max="12806" width="15.28515625" style="14" customWidth="1"/>
    <col min="12807" max="12809" width="18" style="14" customWidth="1"/>
    <col min="12810" max="12810" width="16.28515625" style="14" customWidth="1"/>
    <col min="12811" max="12811" width="14" style="14" customWidth="1"/>
    <col min="12812" max="12812" width="15.28515625" style="14" customWidth="1"/>
    <col min="12813" max="12813" width="14.7109375" style="14" customWidth="1"/>
    <col min="12814" max="12814" width="16.42578125" style="14" customWidth="1"/>
    <col min="12815" max="13050" width="9.140625" style="14"/>
    <col min="13051" max="13051" width="20.7109375" style="14" customWidth="1"/>
    <col min="13052" max="13052" width="16.42578125" style="14" customWidth="1"/>
    <col min="13053" max="13053" width="13.28515625" style="14" customWidth="1"/>
    <col min="13054" max="13055" width="13.140625" style="14" customWidth="1"/>
    <col min="13056" max="13059" width="12.28515625" style="14" customWidth="1"/>
    <col min="13060" max="13060" width="16.28515625" style="14" customWidth="1"/>
    <col min="13061" max="13062" width="15.28515625" style="14" customWidth="1"/>
    <col min="13063" max="13065" width="18" style="14" customWidth="1"/>
    <col min="13066" max="13066" width="16.28515625" style="14" customWidth="1"/>
    <col min="13067" max="13067" width="14" style="14" customWidth="1"/>
    <col min="13068" max="13068" width="15.28515625" style="14" customWidth="1"/>
    <col min="13069" max="13069" width="14.7109375" style="14" customWidth="1"/>
    <col min="13070" max="13070" width="16.42578125" style="14" customWidth="1"/>
    <col min="13071" max="13306" width="9.140625" style="14"/>
    <col min="13307" max="13307" width="20.7109375" style="14" customWidth="1"/>
    <col min="13308" max="13308" width="16.42578125" style="14" customWidth="1"/>
    <col min="13309" max="13309" width="13.28515625" style="14" customWidth="1"/>
    <col min="13310" max="13311" width="13.140625" style="14" customWidth="1"/>
    <col min="13312" max="13315" width="12.28515625" style="14" customWidth="1"/>
    <col min="13316" max="13316" width="16.28515625" style="14" customWidth="1"/>
    <col min="13317" max="13318" width="15.28515625" style="14" customWidth="1"/>
    <col min="13319" max="13321" width="18" style="14" customWidth="1"/>
    <col min="13322" max="13322" width="16.28515625" style="14" customWidth="1"/>
    <col min="13323" max="13323" width="14" style="14" customWidth="1"/>
    <col min="13324" max="13324" width="15.28515625" style="14" customWidth="1"/>
    <col min="13325" max="13325" width="14.7109375" style="14" customWidth="1"/>
    <col min="13326" max="13326" width="16.42578125" style="14" customWidth="1"/>
    <col min="13327" max="13562" width="9.140625" style="14"/>
    <col min="13563" max="13563" width="20.7109375" style="14" customWidth="1"/>
    <col min="13564" max="13564" width="16.42578125" style="14" customWidth="1"/>
    <col min="13565" max="13565" width="13.28515625" style="14" customWidth="1"/>
    <col min="13566" max="13567" width="13.140625" style="14" customWidth="1"/>
    <col min="13568" max="13571" width="12.28515625" style="14" customWidth="1"/>
    <col min="13572" max="13572" width="16.28515625" style="14" customWidth="1"/>
    <col min="13573" max="13574" width="15.28515625" style="14" customWidth="1"/>
    <col min="13575" max="13577" width="18" style="14" customWidth="1"/>
    <col min="13578" max="13578" width="16.28515625" style="14" customWidth="1"/>
    <col min="13579" max="13579" width="14" style="14" customWidth="1"/>
    <col min="13580" max="13580" width="15.28515625" style="14" customWidth="1"/>
    <col min="13581" max="13581" width="14.7109375" style="14" customWidth="1"/>
    <col min="13582" max="13582" width="16.42578125" style="14" customWidth="1"/>
    <col min="13583" max="13818" width="9.140625" style="14"/>
    <col min="13819" max="13819" width="20.7109375" style="14" customWidth="1"/>
    <col min="13820" max="13820" width="16.42578125" style="14" customWidth="1"/>
    <col min="13821" max="13821" width="13.28515625" style="14" customWidth="1"/>
    <col min="13822" max="13823" width="13.140625" style="14" customWidth="1"/>
    <col min="13824" max="13827" width="12.28515625" style="14" customWidth="1"/>
    <col min="13828" max="13828" width="16.28515625" style="14" customWidth="1"/>
    <col min="13829" max="13830" width="15.28515625" style="14" customWidth="1"/>
    <col min="13831" max="13833" width="18" style="14" customWidth="1"/>
    <col min="13834" max="13834" width="16.28515625" style="14" customWidth="1"/>
    <col min="13835" max="13835" width="14" style="14" customWidth="1"/>
    <col min="13836" max="13836" width="15.28515625" style="14" customWidth="1"/>
    <col min="13837" max="13837" width="14.7109375" style="14" customWidth="1"/>
    <col min="13838" max="13838" width="16.42578125" style="14" customWidth="1"/>
    <col min="13839" max="14074" width="9.140625" style="14"/>
    <col min="14075" max="14075" width="20.7109375" style="14" customWidth="1"/>
    <col min="14076" max="14076" width="16.42578125" style="14" customWidth="1"/>
    <col min="14077" max="14077" width="13.28515625" style="14" customWidth="1"/>
    <col min="14078" max="14079" width="13.140625" style="14" customWidth="1"/>
    <col min="14080" max="14083" width="12.28515625" style="14" customWidth="1"/>
    <col min="14084" max="14084" width="16.28515625" style="14" customWidth="1"/>
    <col min="14085" max="14086" width="15.28515625" style="14" customWidth="1"/>
    <col min="14087" max="14089" width="18" style="14" customWidth="1"/>
    <col min="14090" max="14090" width="16.28515625" style="14" customWidth="1"/>
    <col min="14091" max="14091" width="14" style="14" customWidth="1"/>
    <col min="14092" max="14092" width="15.28515625" style="14" customWidth="1"/>
    <col min="14093" max="14093" width="14.7109375" style="14" customWidth="1"/>
    <col min="14094" max="14094" width="16.42578125" style="14" customWidth="1"/>
    <col min="14095" max="14330" width="9.140625" style="14"/>
    <col min="14331" max="14331" width="20.7109375" style="14" customWidth="1"/>
    <col min="14332" max="14332" width="16.42578125" style="14" customWidth="1"/>
    <col min="14333" max="14333" width="13.28515625" style="14" customWidth="1"/>
    <col min="14334" max="14335" width="13.140625" style="14" customWidth="1"/>
    <col min="14336" max="14339" width="12.28515625" style="14" customWidth="1"/>
    <col min="14340" max="14340" width="16.28515625" style="14" customWidth="1"/>
    <col min="14341" max="14342" width="15.28515625" style="14" customWidth="1"/>
    <col min="14343" max="14345" width="18" style="14" customWidth="1"/>
    <col min="14346" max="14346" width="16.28515625" style="14" customWidth="1"/>
    <col min="14347" max="14347" width="14" style="14" customWidth="1"/>
    <col min="14348" max="14348" width="15.28515625" style="14" customWidth="1"/>
    <col min="14349" max="14349" width="14.7109375" style="14" customWidth="1"/>
    <col min="14350" max="14350" width="16.42578125" style="14" customWidth="1"/>
    <col min="14351" max="14586" width="9.140625" style="14"/>
    <col min="14587" max="14587" width="20.7109375" style="14" customWidth="1"/>
    <col min="14588" max="14588" width="16.42578125" style="14" customWidth="1"/>
    <col min="14589" max="14589" width="13.28515625" style="14" customWidth="1"/>
    <col min="14590" max="14591" width="13.140625" style="14" customWidth="1"/>
    <col min="14592" max="14595" width="12.28515625" style="14" customWidth="1"/>
    <col min="14596" max="14596" width="16.28515625" style="14" customWidth="1"/>
    <col min="14597" max="14598" width="15.28515625" style="14" customWidth="1"/>
    <col min="14599" max="14601" width="18" style="14" customWidth="1"/>
    <col min="14602" max="14602" width="16.28515625" style="14" customWidth="1"/>
    <col min="14603" max="14603" width="14" style="14" customWidth="1"/>
    <col min="14604" max="14604" width="15.28515625" style="14" customWidth="1"/>
    <col min="14605" max="14605" width="14.7109375" style="14" customWidth="1"/>
    <col min="14606" max="14606" width="16.42578125" style="14" customWidth="1"/>
    <col min="14607" max="14842" width="9.140625" style="14"/>
    <col min="14843" max="14843" width="20.7109375" style="14" customWidth="1"/>
    <col min="14844" max="14844" width="16.42578125" style="14" customWidth="1"/>
    <col min="14845" max="14845" width="13.28515625" style="14" customWidth="1"/>
    <col min="14846" max="14847" width="13.140625" style="14" customWidth="1"/>
    <col min="14848" max="14851" width="12.28515625" style="14" customWidth="1"/>
    <col min="14852" max="14852" width="16.28515625" style="14" customWidth="1"/>
    <col min="14853" max="14854" width="15.28515625" style="14" customWidth="1"/>
    <col min="14855" max="14857" width="18" style="14" customWidth="1"/>
    <col min="14858" max="14858" width="16.28515625" style="14" customWidth="1"/>
    <col min="14859" max="14859" width="14" style="14" customWidth="1"/>
    <col min="14860" max="14860" width="15.28515625" style="14" customWidth="1"/>
    <col min="14861" max="14861" width="14.7109375" style="14" customWidth="1"/>
    <col min="14862" max="14862" width="16.42578125" style="14" customWidth="1"/>
    <col min="14863" max="15098" width="9.140625" style="14"/>
    <col min="15099" max="15099" width="20.7109375" style="14" customWidth="1"/>
    <col min="15100" max="15100" width="16.42578125" style="14" customWidth="1"/>
    <col min="15101" max="15101" width="13.28515625" style="14" customWidth="1"/>
    <col min="15102" max="15103" width="13.140625" style="14" customWidth="1"/>
    <col min="15104" max="15107" width="12.28515625" style="14" customWidth="1"/>
    <col min="15108" max="15108" width="16.28515625" style="14" customWidth="1"/>
    <col min="15109" max="15110" width="15.28515625" style="14" customWidth="1"/>
    <col min="15111" max="15113" width="18" style="14" customWidth="1"/>
    <col min="15114" max="15114" width="16.28515625" style="14" customWidth="1"/>
    <col min="15115" max="15115" width="14" style="14" customWidth="1"/>
    <col min="15116" max="15116" width="15.28515625" style="14" customWidth="1"/>
    <col min="15117" max="15117" width="14.7109375" style="14" customWidth="1"/>
    <col min="15118" max="15118" width="16.42578125" style="14" customWidth="1"/>
    <col min="15119" max="15354" width="9.140625" style="14"/>
    <col min="15355" max="15355" width="20.7109375" style="14" customWidth="1"/>
    <col min="15356" max="15356" width="16.42578125" style="14" customWidth="1"/>
    <col min="15357" max="15357" width="13.28515625" style="14" customWidth="1"/>
    <col min="15358" max="15359" width="13.140625" style="14" customWidth="1"/>
    <col min="15360" max="15363" width="12.28515625" style="14" customWidth="1"/>
    <col min="15364" max="15364" width="16.28515625" style="14" customWidth="1"/>
    <col min="15365" max="15366" width="15.28515625" style="14" customWidth="1"/>
    <col min="15367" max="15369" width="18" style="14" customWidth="1"/>
    <col min="15370" max="15370" width="16.28515625" style="14" customWidth="1"/>
    <col min="15371" max="15371" width="14" style="14" customWidth="1"/>
    <col min="15372" max="15372" width="15.28515625" style="14" customWidth="1"/>
    <col min="15373" max="15373" width="14.7109375" style="14" customWidth="1"/>
    <col min="15374" max="15374" width="16.42578125" style="14" customWidth="1"/>
    <col min="15375" max="15610" width="9.140625" style="14"/>
    <col min="15611" max="15611" width="20.7109375" style="14" customWidth="1"/>
    <col min="15612" max="15612" width="16.42578125" style="14" customWidth="1"/>
    <col min="15613" max="15613" width="13.28515625" style="14" customWidth="1"/>
    <col min="15614" max="15615" width="13.140625" style="14" customWidth="1"/>
    <col min="15616" max="15619" width="12.28515625" style="14" customWidth="1"/>
    <col min="15620" max="15620" width="16.28515625" style="14" customWidth="1"/>
    <col min="15621" max="15622" width="15.28515625" style="14" customWidth="1"/>
    <col min="15623" max="15625" width="18" style="14" customWidth="1"/>
    <col min="15626" max="15626" width="16.28515625" style="14" customWidth="1"/>
    <col min="15627" max="15627" width="14" style="14" customWidth="1"/>
    <col min="15628" max="15628" width="15.28515625" style="14" customWidth="1"/>
    <col min="15629" max="15629" width="14.7109375" style="14" customWidth="1"/>
    <col min="15630" max="15630" width="16.42578125" style="14" customWidth="1"/>
    <col min="15631" max="15866" width="9.140625" style="14"/>
    <col min="15867" max="15867" width="20.7109375" style="14" customWidth="1"/>
    <col min="15868" max="15868" width="16.42578125" style="14" customWidth="1"/>
    <col min="15869" max="15869" width="13.28515625" style="14" customWidth="1"/>
    <col min="15870" max="15871" width="13.140625" style="14" customWidth="1"/>
    <col min="15872" max="15875" width="12.28515625" style="14" customWidth="1"/>
    <col min="15876" max="15876" width="16.28515625" style="14" customWidth="1"/>
    <col min="15877" max="15878" width="15.28515625" style="14" customWidth="1"/>
    <col min="15879" max="15881" width="18" style="14" customWidth="1"/>
    <col min="15882" max="15882" width="16.28515625" style="14" customWidth="1"/>
    <col min="15883" max="15883" width="14" style="14" customWidth="1"/>
    <col min="15884" max="15884" width="15.28515625" style="14" customWidth="1"/>
    <col min="15885" max="15885" width="14.7109375" style="14" customWidth="1"/>
    <col min="15886" max="15886" width="16.42578125" style="14" customWidth="1"/>
    <col min="15887" max="16122" width="9.140625" style="14"/>
    <col min="16123" max="16123" width="20.7109375" style="14" customWidth="1"/>
    <col min="16124" max="16124" width="16.42578125" style="14" customWidth="1"/>
    <col min="16125" max="16125" width="13.28515625" style="14" customWidth="1"/>
    <col min="16126" max="16127" width="13.140625" style="14" customWidth="1"/>
    <col min="16128" max="16131" width="12.28515625" style="14" customWidth="1"/>
    <col min="16132" max="16132" width="16.28515625" style="14" customWidth="1"/>
    <col min="16133" max="16134" width="15.28515625" style="14" customWidth="1"/>
    <col min="16135" max="16137" width="18" style="14" customWidth="1"/>
    <col min="16138" max="16138" width="16.28515625" style="14" customWidth="1"/>
    <col min="16139" max="16139" width="14" style="14" customWidth="1"/>
    <col min="16140" max="16140" width="15.28515625" style="14" customWidth="1"/>
    <col min="16141" max="16141" width="14.7109375" style="14" customWidth="1"/>
    <col min="16142" max="16142" width="16.42578125" style="14" customWidth="1"/>
    <col min="16143" max="16381" width="9.140625" style="14"/>
    <col min="16382" max="16384" width="9.140625" style="14" customWidth="1"/>
  </cols>
  <sheetData>
    <row r="1" spans="1:20" x14ac:dyDescent="0.2">
      <c r="A1" s="1046" t="s">
        <v>407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</row>
    <row r="2" spans="1:20" s="18" customFormat="1" ht="72.75" customHeight="1" x14ac:dyDescent="0.2">
      <c r="A2" s="1032" t="s">
        <v>132</v>
      </c>
      <c r="B2" s="1045" t="str">
        <f>'Услуги связи'!B3</f>
        <v xml:space="preserve">Нормативная численность обучающихся </v>
      </c>
      <c r="C2" s="1034" t="s">
        <v>24</v>
      </c>
      <c r="D2" s="1035"/>
      <c r="E2" s="1036"/>
      <c r="F2" s="1037" t="s">
        <v>2</v>
      </c>
      <c r="G2" s="1038"/>
      <c r="H2" s="1038"/>
      <c r="I2" s="1039"/>
      <c r="J2" s="1028" t="s">
        <v>338</v>
      </c>
      <c r="K2" s="1028" t="s">
        <v>370</v>
      </c>
      <c r="L2" s="1028" t="s">
        <v>403</v>
      </c>
      <c r="M2" s="1031" t="s">
        <v>150</v>
      </c>
      <c r="N2" s="1031"/>
      <c r="O2" s="1042" t="s">
        <v>322</v>
      </c>
      <c r="P2" s="1028" t="s">
        <v>338</v>
      </c>
      <c r="Q2" s="1028" t="s">
        <v>370</v>
      </c>
      <c r="R2" s="1028" t="s">
        <v>403</v>
      </c>
    </row>
    <row r="3" spans="1:20" s="18" customFormat="1" x14ac:dyDescent="0.2">
      <c r="A3" s="1029"/>
      <c r="B3" s="1045"/>
      <c r="C3" s="1031">
        <v>2021</v>
      </c>
      <c r="D3" s="1031">
        <v>2022</v>
      </c>
      <c r="E3" s="1031">
        <v>2023</v>
      </c>
      <c r="F3" s="98">
        <v>2020</v>
      </c>
      <c r="G3" s="98">
        <v>2021</v>
      </c>
      <c r="H3" s="98">
        <v>2022</v>
      </c>
      <c r="I3" s="98">
        <v>2023</v>
      </c>
      <c r="J3" s="1029"/>
      <c r="K3" s="1029"/>
      <c r="L3" s="1029"/>
      <c r="M3" s="1031"/>
      <c r="N3" s="1031"/>
      <c r="O3" s="1043"/>
      <c r="P3" s="1040"/>
      <c r="Q3" s="1040"/>
      <c r="R3" s="1040"/>
    </row>
    <row r="4" spans="1:20" s="18" customFormat="1" ht="12.75" customHeight="1" x14ac:dyDescent="0.2">
      <c r="A4" s="1029"/>
      <c r="B4" s="1045"/>
      <c r="C4" s="1031"/>
      <c r="D4" s="1031"/>
      <c r="E4" s="1031"/>
      <c r="F4" s="1037" t="s">
        <v>22</v>
      </c>
      <c r="G4" s="1038"/>
      <c r="H4" s="1038"/>
      <c r="I4" s="1039"/>
      <c r="J4" s="1029"/>
      <c r="K4" s="1029"/>
      <c r="L4" s="1029"/>
      <c r="M4" s="1032" t="s">
        <v>24</v>
      </c>
      <c r="N4" s="1032" t="s">
        <v>33</v>
      </c>
      <c r="O4" s="1043"/>
      <c r="P4" s="1040"/>
      <c r="Q4" s="1040"/>
      <c r="R4" s="1040"/>
    </row>
    <row r="5" spans="1:20" s="18" customFormat="1" x14ac:dyDescent="0.2">
      <c r="A5" s="1030"/>
      <c r="B5" s="1045"/>
      <c r="C5" s="1031"/>
      <c r="D5" s="1031"/>
      <c r="E5" s="1031"/>
      <c r="F5" s="98">
        <v>1</v>
      </c>
      <c r="G5" s="98">
        <v>1.05</v>
      </c>
      <c r="H5" s="610">
        <v>1.05</v>
      </c>
      <c r="I5" s="610">
        <v>1.05</v>
      </c>
      <c r="J5" s="1030"/>
      <c r="K5" s="1030"/>
      <c r="L5" s="1030"/>
      <c r="M5" s="1030"/>
      <c r="N5" s="1030"/>
      <c r="O5" s="1044"/>
      <c r="P5" s="1041"/>
      <c r="Q5" s="1041"/>
      <c r="R5" s="1041"/>
    </row>
    <row r="6" spans="1:20" s="18" customFormat="1" x14ac:dyDescent="0.2">
      <c r="A6" s="38" t="str">
        <f>Водоотведение!A6</f>
        <v>МАДОУ ЦРР-детский сад № 2</v>
      </c>
      <c r="B6" s="522">
        <f>Водоотведение!B6</f>
        <v>506</v>
      </c>
      <c r="C6" s="204">
        <f>'Факт. объемы'!AL7</f>
        <v>1409.1000000000001</v>
      </c>
      <c r="D6" s="204">
        <f>C6</f>
        <v>1409.1000000000001</v>
      </c>
      <c r="E6" s="204">
        <f>D6</f>
        <v>1409.1000000000001</v>
      </c>
      <c r="F6" s="561">
        <v>130</v>
      </c>
      <c r="G6" s="561">
        <v>140</v>
      </c>
      <c r="H6" s="561">
        <v>147</v>
      </c>
      <c r="I6" s="561">
        <v>154.35</v>
      </c>
      <c r="J6" s="197">
        <f>ROUND(C6*G6,0)</f>
        <v>197274</v>
      </c>
      <c r="K6" s="197">
        <f t="shared" ref="J6:L9" si="0">ROUND(D6*H6,0)</f>
        <v>207138</v>
      </c>
      <c r="L6" s="197">
        <f t="shared" si="0"/>
        <v>217495</v>
      </c>
      <c r="M6" s="197"/>
      <c r="N6" s="197"/>
      <c r="O6" s="383">
        <f>ROUND(C6/B6,3)</f>
        <v>2.7850000000000001</v>
      </c>
      <c r="P6" s="160">
        <f>ROUND(B6*G6*O6,2)</f>
        <v>197289.4</v>
      </c>
      <c r="Q6" s="160">
        <f>ROUND(B6*H6*O6,2)</f>
        <v>207153.87</v>
      </c>
      <c r="R6" s="160">
        <f>ROUND(B6*I6*O6,2)</f>
        <v>217511.56</v>
      </c>
      <c r="T6" s="18" t="s">
        <v>447</v>
      </c>
    </row>
    <row r="7" spans="1:20" s="18" customFormat="1" x14ac:dyDescent="0.2">
      <c r="A7" s="38" t="str">
        <f>Водоотведение!A8</f>
        <v>МАДОУ ЦРР-детский сад № 13</v>
      </c>
      <c r="B7" s="522">
        <f>Водоотведение!B8</f>
        <v>633</v>
      </c>
      <c r="C7" s="204">
        <f>'Факт. объемы'!AL9</f>
        <v>608.4</v>
      </c>
      <c r="D7" s="204">
        <f t="shared" ref="D7:E9" si="1">C7</f>
        <v>608.4</v>
      </c>
      <c r="E7" s="204">
        <f t="shared" si="1"/>
        <v>608.4</v>
      </c>
      <c r="F7" s="561">
        <v>130</v>
      </c>
      <c r="G7" s="561">
        <v>140</v>
      </c>
      <c r="H7" s="561">
        <v>147</v>
      </c>
      <c r="I7" s="561">
        <v>154.35</v>
      </c>
      <c r="J7" s="197">
        <f t="shared" si="0"/>
        <v>85176</v>
      </c>
      <c r="K7" s="197">
        <f t="shared" si="0"/>
        <v>89435</v>
      </c>
      <c r="L7" s="197">
        <f t="shared" si="0"/>
        <v>93907</v>
      </c>
      <c r="M7" s="197"/>
      <c r="N7" s="197"/>
      <c r="O7" s="383">
        <f>ROUND(C7/B7,3)</f>
        <v>0.96099999999999997</v>
      </c>
      <c r="P7" s="160">
        <f t="shared" ref="P7:P9" si="2">ROUND(B7*G7*O7,2)</f>
        <v>85163.82</v>
      </c>
      <c r="Q7" s="160">
        <f t="shared" ref="Q7:Q9" si="3">ROUND(B7*H7*O7,2)</f>
        <v>89422.01</v>
      </c>
      <c r="R7" s="160">
        <f t="shared" ref="R7:R9" si="4">ROUND(B7*I7*O7,2)</f>
        <v>93893.11</v>
      </c>
      <c r="T7" s="18" t="s">
        <v>448</v>
      </c>
    </row>
    <row r="8" spans="1:20" s="18" customFormat="1" ht="25.5" x14ac:dyDescent="0.2">
      <c r="A8" s="46" t="str">
        <f>Водоотведение!A10</f>
        <v>МАОУ СОШ № 2 им.М.И.Грибушина структурное подразделение</v>
      </c>
      <c r="B8" s="520">
        <f>Водоотведение!B10</f>
        <v>288</v>
      </c>
      <c r="C8" s="204">
        <f>'Факт. объемы'!AL11</f>
        <v>1431.8333333333333</v>
      </c>
      <c r="D8" s="204">
        <f t="shared" si="1"/>
        <v>1431.8333333333333</v>
      </c>
      <c r="E8" s="204">
        <f t="shared" si="1"/>
        <v>1431.8333333333333</v>
      </c>
      <c r="F8" s="561">
        <v>130</v>
      </c>
      <c r="G8" s="561">
        <v>140</v>
      </c>
      <c r="H8" s="561">
        <v>147</v>
      </c>
      <c r="I8" s="561">
        <v>154.35</v>
      </c>
      <c r="J8" s="197">
        <f t="shared" si="0"/>
        <v>200457</v>
      </c>
      <c r="K8" s="197">
        <f t="shared" si="0"/>
        <v>210480</v>
      </c>
      <c r="L8" s="197">
        <f t="shared" si="0"/>
        <v>221003</v>
      </c>
      <c r="M8" s="75"/>
      <c r="N8" s="75"/>
      <c r="O8" s="383">
        <f>ROUND(C8/B8,3)</f>
        <v>4.9720000000000004</v>
      </c>
      <c r="P8" s="160">
        <f t="shared" si="2"/>
        <v>200471.04000000001</v>
      </c>
      <c r="Q8" s="160">
        <f t="shared" si="3"/>
        <v>210494.59</v>
      </c>
      <c r="R8" s="160">
        <f t="shared" si="4"/>
        <v>221019.32</v>
      </c>
      <c r="T8" s="18" t="s">
        <v>628</v>
      </c>
    </row>
    <row r="9" spans="1:20" s="18" customFormat="1" ht="33" customHeight="1" thickBot="1" x14ac:dyDescent="0.25">
      <c r="A9" s="530" t="str">
        <f>Водоотведение!A14</f>
        <v>МАОУ ООШ № 17 с кадетскими классами структурное подразделение</v>
      </c>
      <c r="B9" s="525">
        <f>Водоотведение!B14</f>
        <v>189</v>
      </c>
      <c r="C9" s="204">
        <f>'Факт. объемы'!AL15</f>
        <v>765</v>
      </c>
      <c r="D9" s="204">
        <f t="shared" si="1"/>
        <v>765</v>
      </c>
      <c r="E9" s="204">
        <f t="shared" si="1"/>
        <v>765</v>
      </c>
      <c r="F9" s="561">
        <v>130</v>
      </c>
      <c r="G9" s="561">
        <v>140</v>
      </c>
      <c r="H9" s="561">
        <v>147</v>
      </c>
      <c r="I9" s="561">
        <v>154.35</v>
      </c>
      <c r="J9" s="523">
        <f t="shared" si="0"/>
        <v>107100</v>
      </c>
      <c r="K9" s="523">
        <f t="shared" si="0"/>
        <v>112455</v>
      </c>
      <c r="L9" s="523">
        <f t="shared" si="0"/>
        <v>118078</v>
      </c>
      <c r="M9" s="524"/>
      <c r="N9" s="524"/>
      <c r="O9" s="383">
        <f>ROUND(C9/B9,3)</f>
        <v>4.048</v>
      </c>
      <c r="P9" s="160">
        <f t="shared" si="2"/>
        <v>107110.08</v>
      </c>
      <c r="Q9" s="160">
        <f t="shared" si="3"/>
        <v>112465.58</v>
      </c>
      <c r="R9" s="160">
        <f t="shared" si="4"/>
        <v>118088.86</v>
      </c>
      <c r="T9" s="18" t="s">
        <v>640</v>
      </c>
    </row>
    <row r="10" spans="1:20" s="18" customFormat="1" ht="15.75" customHeight="1" thickBot="1" x14ac:dyDescent="0.25">
      <c r="A10" s="109" t="s">
        <v>1</v>
      </c>
      <c r="B10" s="296">
        <f>SUM(B6:B9)</f>
        <v>1616</v>
      </c>
      <c r="C10" s="108">
        <f>SUM(C6:C9)</f>
        <v>4214.333333333333</v>
      </c>
      <c r="D10" s="108">
        <f t="shared" ref="D10:E10" si="5">SUM(D6:D9)</f>
        <v>4214.333333333333</v>
      </c>
      <c r="E10" s="108">
        <f t="shared" si="5"/>
        <v>4214.333333333333</v>
      </c>
      <c r="F10" s="108">
        <f>ROUND(AVERAGE(F6:F9),2)</f>
        <v>130</v>
      </c>
      <c r="G10" s="108">
        <f>ROUND(AVERAGE(G6:G9),2)</f>
        <v>140</v>
      </c>
      <c r="H10" s="108">
        <f>ROUND(AVERAGE(H6:H9),2)</f>
        <v>147</v>
      </c>
      <c r="I10" s="108">
        <f>ROUND(AVERAGE(I6:I9),2)</f>
        <v>154.35</v>
      </c>
      <c r="J10" s="113">
        <f>SUM(J6:J9)</f>
        <v>590007</v>
      </c>
      <c r="K10" s="113">
        <f>SUM(K6:K9)</f>
        <v>619508</v>
      </c>
      <c r="L10" s="108">
        <f>SUM(L6:L9)</f>
        <v>650483</v>
      </c>
      <c r="M10" s="108">
        <f>SUM(M6:M8)</f>
        <v>0</v>
      </c>
      <c r="N10" s="108">
        <f>SUM(N6:N8)</f>
        <v>0</v>
      </c>
      <c r="O10" s="385">
        <f>ROUND(MEDIAN(O6:O9),3)</f>
        <v>3.4169999999999998</v>
      </c>
      <c r="P10" s="108">
        <f>SUM(P6:P9)</f>
        <v>590034.34</v>
      </c>
      <c r="Q10" s="108">
        <f>SUM(Q6:Q9)</f>
        <v>619536.04999999993</v>
      </c>
      <c r="R10" s="108">
        <f>SUM(R6:R9)</f>
        <v>650512.85</v>
      </c>
    </row>
    <row r="11" spans="1:20" ht="16.149999999999999" customHeight="1" x14ac:dyDescent="0.2">
      <c r="G11" s="142"/>
      <c r="H11" s="142"/>
      <c r="I11" s="142"/>
      <c r="K11" s="79"/>
      <c r="L11" s="44"/>
      <c r="N11" s="442" t="s">
        <v>234</v>
      </c>
      <c r="O11" s="138"/>
      <c r="P11" s="444">
        <f>ROUND(G10*O10,2)</f>
        <v>478.38</v>
      </c>
      <c r="Q11" s="444">
        <f>ROUND(H10*O10,2)</f>
        <v>502.3</v>
      </c>
      <c r="R11" s="444">
        <f>ROUND(I10*O10,2)</f>
        <v>527.41</v>
      </c>
    </row>
    <row r="12" spans="1:20" x14ac:dyDescent="0.2">
      <c r="D12" s="87"/>
      <c r="E12" s="87"/>
      <c r="F12" s="29"/>
      <c r="H12" s="78"/>
      <c r="P12" s="44"/>
      <c r="Q12" s="44"/>
    </row>
    <row r="14" spans="1:20" x14ac:dyDescent="0.2">
      <c r="A14" s="14" t="s">
        <v>665</v>
      </c>
    </row>
    <row r="16" spans="1:20" x14ac:dyDescent="0.2">
      <c r="D16" s="78"/>
      <c r="E16" s="78"/>
      <c r="F16" s="78"/>
    </row>
    <row r="17" spans="8:8" x14ac:dyDescent="0.2">
      <c r="H17" s="78"/>
    </row>
  </sheetData>
  <mergeCells count="19">
    <mergeCell ref="O2:O5"/>
    <mergeCell ref="P2:P5"/>
    <mergeCell ref="Q2:Q5"/>
    <mergeCell ref="A1:R1"/>
    <mergeCell ref="R2:R5"/>
    <mergeCell ref="A2:A5"/>
    <mergeCell ref="C2:E2"/>
    <mergeCell ref="F2:I2"/>
    <mergeCell ref="F4:I4"/>
    <mergeCell ref="J2:J5"/>
    <mergeCell ref="B2:B5"/>
    <mergeCell ref="K2:K5"/>
    <mergeCell ref="L2:L5"/>
    <mergeCell ref="M2:N3"/>
    <mergeCell ref="C3:C5"/>
    <mergeCell ref="D3:D5"/>
    <mergeCell ref="E3:E5"/>
    <mergeCell ref="M4:M5"/>
    <mergeCell ref="N4:N5"/>
  </mergeCells>
  <pageMargins left="0.35433070866141736" right="0.35433070866141736" top="0.98425196850393704" bottom="0.98425196850393704" header="0.51181102362204722" footer="0.51181102362204722"/>
  <pageSetup paperSize="9" scale="63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R22"/>
  <sheetViews>
    <sheetView zoomScale="110" zoomScaleNormal="110" workbookViewId="0">
      <selection activeCell="I22" sqref="I22"/>
    </sheetView>
  </sheetViews>
  <sheetFormatPr defaultRowHeight="12.75" x14ac:dyDescent="0.2"/>
  <cols>
    <col min="1" max="1" width="34.140625" style="14" customWidth="1"/>
    <col min="2" max="2" width="12.7109375" style="14" customWidth="1"/>
    <col min="3" max="3" width="13.28515625" style="14" customWidth="1"/>
    <col min="4" max="5" width="13.140625" style="14" customWidth="1"/>
    <col min="6" max="6" width="9.7109375" style="14" customWidth="1"/>
    <col min="7" max="7" width="10.42578125" style="14" customWidth="1"/>
    <col min="8" max="8" width="10" style="14" customWidth="1"/>
    <col min="9" max="9" width="9.7109375" style="14" customWidth="1"/>
    <col min="10" max="10" width="12.42578125" style="14" customWidth="1"/>
    <col min="11" max="11" width="12.5703125" style="14" customWidth="1"/>
    <col min="12" max="12" width="13.5703125" style="14" customWidth="1"/>
    <col min="13" max="13" width="7.7109375" style="14" customWidth="1"/>
    <col min="14" max="14" width="8.140625" style="14" customWidth="1"/>
    <col min="15" max="15" width="12.7109375" style="14" customWidth="1"/>
    <col min="16" max="18" width="16" style="14" customWidth="1"/>
    <col min="19" max="253" width="9.140625" style="14"/>
    <col min="254" max="254" width="20.7109375" style="14" customWidth="1"/>
    <col min="255" max="255" width="16.42578125" style="14" customWidth="1"/>
    <col min="256" max="256" width="13.28515625" style="14" customWidth="1"/>
    <col min="257" max="258" width="13.140625" style="14" customWidth="1"/>
    <col min="259" max="259" width="9.7109375" style="14" customWidth="1"/>
    <col min="260" max="260" width="10.42578125" style="14" customWidth="1"/>
    <col min="261" max="261" width="10" style="14" customWidth="1"/>
    <col min="262" max="262" width="9.7109375" style="14" customWidth="1"/>
    <col min="263" max="263" width="13.7109375" style="14" customWidth="1"/>
    <col min="264" max="265" width="14.5703125" style="14" customWidth="1"/>
    <col min="266" max="266" width="14.7109375" style="14" customWidth="1"/>
    <col min="267" max="267" width="14" style="14" customWidth="1"/>
    <col min="268" max="268" width="14.7109375" style="14" customWidth="1"/>
    <col min="269" max="269" width="16.140625" style="14" customWidth="1"/>
    <col min="270" max="270" width="14.5703125" style="14" customWidth="1"/>
    <col min="271" max="271" width="15.28515625" style="14" customWidth="1"/>
    <col min="272" max="272" width="14.7109375" style="14" customWidth="1"/>
    <col min="273" max="273" width="16.42578125" style="14" customWidth="1"/>
    <col min="274" max="509" width="9.140625" style="14"/>
    <col min="510" max="510" width="20.7109375" style="14" customWidth="1"/>
    <col min="511" max="511" width="16.42578125" style="14" customWidth="1"/>
    <col min="512" max="512" width="13.28515625" style="14" customWidth="1"/>
    <col min="513" max="514" width="13.140625" style="14" customWidth="1"/>
    <col min="515" max="515" width="9.7109375" style="14" customWidth="1"/>
    <col min="516" max="516" width="10.42578125" style="14" customWidth="1"/>
    <col min="517" max="517" width="10" style="14" customWidth="1"/>
    <col min="518" max="518" width="9.7109375" style="14" customWidth="1"/>
    <col min="519" max="519" width="13.7109375" style="14" customWidth="1"/>
    <col min="520" max="521" width="14.5703125" style="14" customWidth="1"/>
    <col min="522" max="522" width="14.7109375" style="14" customWidth="1"/>
    <col min="523" max="523" width="14" style="14" customWidth="1"/>
    <col min="524" max="524" width="14.7109375" style="14" customWidth="1"/>
    <col min="525" max="525" width="16.140625" style="14" customWidth="1"/>
    <col min="526" max="526" width="14.5703125" style="14" customWidth="1"/>
    <col min="527" max="527" width="15.28515625" style="14" customWidth="1"/>
    <col min="528" max="528" width="14.7109375" style="14" customWidth="1"/>
    <col min="529" max="529" width="16.42578125" style="14" customWidth="1"/>
    <col min="530" max="765" width="9.140625" style="14"/>
    <col min="766" max="766" width="20.7109375" style="14" customWidth="1"/>
    <col min="767" max="767" width="16.42578125" style="14" customWidth="1"/>
    <col min="768" max="768" width="13.28515625" style="14" customWidth="1"/>
    <col min="769" max="770" width="13.140625" style="14" customWidth="1"/>
    <col min="771" max="771" width="9.7109375" style="14" customWidth="1"/>
    <col min="772" max="772" width="10.42578125" style="14" customWidth="1"/>
    <col min="773" max="773" width="10" style="14" customWidth="1"/>
    <col min="774" max="774" width="9.7109375" style="14" customWidth="1"/>
    <col min="775" max="775" width="13.7109375" style="14" customWidth="1"/>
    <col min="776" max="777" width="14.5703125" style="14" customWidth="1"/>
    <col min="778" max="778" width="14.7109375" style="14" customWidth="1"/>
    <col min="779" max="779" width="14" style="14" customWidth="1"/>
    <col min="780" max="780" width="14.7109375" style="14" customWidth="1"/>
    <col min="781" max="781" width="16.140625" style="14" customWidth="1"/>
    <col min="782" max="782" width="14.5703125" style="14" customWidth="1"/>
    <col min="783" max="783" width="15.28515625" style="14" customWidth="1"/>
    <col min="784" max="784" width="14.7109375" style="14" customWidth="1"/>
    <col min="785" max="785" width="16.42578125" style="14" customWidth="1"/>
    <col min="786" max="1021" width="9.140625" style="14"/>
    <col min="1022" max="1022" width="20.7109375" style="14" customWidth="1"/>
    <col min="1023" max="1023" width="16.42578125" style="14" customWidth="1"/>
    <col min="1024" max="1024" width="13.28515625" style="14" customWidth="1"/>
    <col min="1025" max="1026" width="13.140625" style="14" customWidth="1"/>
    <col min="1027" max="1027" width="9.7109375" style="14" customWidth="1"/>
    <col min="1028" max="1028" width="10.42578125" style="14" customWidth="1"/>
    <col min="1029" max="1029" width="10" style="14" customWidth="1"/>
    <col min="1030" max="1030" width="9.7109375" style="14" customWidth="1"/>
    <col min="1031" max="1031" width="13.7109375" style="14" customWidth="1"/>
    <col min="1032" max="1033" width="14.5703125" style="14" customWidth="1"/>
    <col min="1034" max="1034" width="14.7109375" style="14" customWidth="1"/>
    <col min="1035" max="1035" width="14" style="14" customWidth="1"/>
    <col min="1036" max="1036" width="14.7109375" style="14" customWidth="1"/>
    <col min="1037" max="1037" width="16.140625" style="14" customWidth="1"/>
    <col min="1038" max="1038" width="14.5703125" style="14" customWidth="1"/>
    <col min="1039" max="1039" width="15.28515625" style="14" customWidth="1"/>
    <col min="1040" max="1040" width="14.7109375" style="14" customWidth="1"/>
    <col min="1041" max="1041" width="16.42578125" style="14" customWidth="1"/>
    <col min="1042" max="1277" width="9.140625" style="14"/>
    <col min="1278" max="1278" width="20.7109375" style="14" customWidth="1"/>
    <col min="1279" max="1279" width="16.42578125" style="14" customWidth="1"/>
    <col min="1280" max="1280" width="13.28515625" style="14" customWidth="1"/>
    <col min="1281" max="1282" width="13.140625" style="14" customWidth="1"/>
    <col min="1283" max="1283" width="9.7109375" style="14" customWidth="1"/>
    <col min="1284" max="1284" width="10.42578125" style="14" customWidth="1"/>
    <col min="1285" max="1285" width="10" style="14" customWidth="1"/>
    <col min="1286" max="1286" width="9.7109375" style="14" customWidth="1"/>
    <col min="1287" max="1287" width="13.7109375" style="14" customWidth="1"/>
    <col min="1288" max="1289" width="14.5703125" style="14" customWidth="1"/>
    <col min="1290" max="1290" width="14.7109375" style="14" customWidth="1"/>
    <col min="1291" max="1291" width="14" style="14" customWidth="1"/>
    <col min="1292" max="1292" width="14.7109375" style="14" customWidth="1"/>
    <col min="1293" max="1293" width="16.140625" style="14" customWidth="1"/>
    <col min="1294" max="1294" width="14.5703125" style="14" customWidth="1"/>
    <col min="1295" max="1295" width="15.28515625" style="14" customWidth="1"/>
    <col min="1296" max="1296" width="14.7109375" style="14" customWidth="1"/>
    <col min="1297" max="1297" width="16.42578125" style="14" customWidth="1"/>
    <col min="1298" max="1533" width="9.140625" style="14"/>
    <col min="1534" max="1534" width="20.7109375" style="14" customWidth="1"/>
    <col min="1535" max="1535" width="16.42578125" style="14" customWidth="1"/>
    <col min="1536" max="1536" width="13.28515625" style="14" customWidth="1"/>
    <col min="1537" max="1538" width="13.140625" style="14" customWidth="1"/>
    <col min="1539" max="1539" width="9.7109375" style="14" customWidth="1"/>
    <col min="1540" max="1540" width="10.42578125" style="14" customWidth="1"/>
    <col min="1541" max="1541" width="10" style="14" customWidth="1"/>
    <col min="1542" max="1542" width="9.7109375" style="14" customWidth="1"/>
    <col min="1543" max="1543" width="13.7109375" style="14" customWidth="1"/>
    <col min="1544" max="1545" width="14.5703125" style="14" customWidth="1"/>
    <col min="1546" max="1546" width="14.7109375" style="14" customWidth="1"/>
    <col min="1547" max="1547" width="14" style="14" customWidth="1"/>
    <col min="1548" max="1548" width="14.7109375" style="14" customWidth="1"/>
    <col min="1549" max="1549" width="16.140625" style="14" customWidth="1"/>
    <col min="1550" max="1550" width="14.5703125" style="14" customWidth="1"/>
    <col min="1551" max="1551" width="15.28515625" style="14" customWidth="1"/>
    <col min="1552" max="1552" width="14.7109375" style="14" customWidth="1"/>
    <col min="1553" max="1553" width="16.42578125" style="14" customWidth="1"/>
    <col min="1554" max="1789" width="9.140625" style="14"/>
    <col min="1790" max="1790" width="20.7109375" style="14" customWidth="1"/>
    <col min="1791" max="1791" width="16.42578125" style="14" customWidth="1"/>
    <col min="1792" max="1792" width="13.28515625" style="14" customWidth="1"/>
    <col min="1793" max="1794" width="13.140625" style="14" customWidth="1"/>
    <col min="1795" max="1795" width="9.7109375" style="14" customWidth="1"/>
    <col min="1796" max="1796" width="10.42578125" style="14" customWidth="1"/>
    <col min="1797" max="1797" width="10" style="14" customWidth="1"/>
    <col min="1798" max="1798" width="9.7109375" style="14" customWidth="1"/>
    <col min="1799" max="1799" width="13.7109375" style="14" customWidth="1"/>
    <col min="1800" max="1801" width="14.5703125" style="14" customWidth="1"/>
    <col min="1802" max="1802" width="14.7109375" style="14" customWidth="1"/>
    <col min="1803" max="1803" width="14" style="14" customWidth="1"/>
    <col min="1804" max="1804" width="14.7109375" style="14" customWidth="1"/>
    <col min="1805" max="1805" width="16.140625" style="14" customWidth="1"/>
    <col min="1806" max="1806" width="14.5703125" style="14" customWidth="1"/>
    <col min="1807" max="1807" width="15.28515625" style="14" customWidth="1"/>
    <col min="1808" max="1808" width="14.7109375" style="14" customWidth="1"/>
    <col min="1809" max="1809" width="16.42578125" style="14" customWidth="1"/>
    <col min="1810" max="2045" width="9.140625" style="14"/>
    <col min="2046" max="2046" width="20.7109375" style="14" customWidth="1"/>
    <col min="2047" max="2047" width="16.42578125" style="14" customWidth="1"/>
    <col min="2048" max="2048" width="13.28515625" style="14" customWidth="1"/>
    <col min="2049" max="2050" width="13.140625" style="14" customWidth="1"/>
    <col min="2051" max="2051" width="9.7109375" style="14" customWidth="1"/>
    <col min="2052" max="2052" width="10.42578125" style="14" customWidth="1"/>
    <col min="2053" max="2053" width="10" style="14" customWidth="1"/>
    <col min="2054" max="2054" width="9.7109375" style="14" customWidth="1"/>
    <col min="2055" max="2055" width="13.7109375" style="14" customWidth="1"/>
    <col min="2056" max="2057" width="14.5703125" style="14" customWidth="1"/>
    <col min="2058" max="2058" width="14.7109375" style="14" customWidth="1"/>
    <col min="2059" max="2059" width="14" style="14" customWidth="1"/>
    <col min="2060" max="2060" width="14.7109375" style="14" customWidth="1"/>
    <col min="2061" max="2061" width="16.140625" style="14" customWidth="1"/>
    <col min="2062" max="2062" width="14.5703125" style="14" customWidth="1"/>
    <col min="2063" max="2063" width="15.28515625" style="14" customWidth="1"/>
    <col min="2064" max="2064" width="14.7109375" style="14" customWidth="1"/>
    <col min="2065" max="2065" width="16.42578125" style="14" customWidth="1"/>
    <col min="2066" max="2301" width="9.140625" style="14"/>
    <col min="2302" max="2302" width="20.7109375" style="14" customWidth="1"/>
    <col min="2303" max="2303" width="16.42578125" style="14" customWidth="1"/>
    <col min="2304" max="2304" width="13.28515625" style="14" customWidth="1"/>
    <col min="2305" max="2306" width="13.140625" style="14" customWidth="1"/>
    <col min="2307" max="2307" width="9.7109375" style="14" customWidth="1"/>
    <col min="2308" max="2308" width="10.42578125" style="14" customWidth="1"/>
    <col min="2309" max="2309" width="10" style="14" customWidth="1"/>
    <col min="2310" max="2310" width="9.7109375" style="14" customWidth="1"/>
    <col min="2311" max="2311" width="13.7109375" style="14" customWidth="1"/>
    <col min="2312" max="2313" width="14.5703125" style="14" customWidth="1"/>
    <col min="2314" max="2314" width="14.7109375" style="14" customWidth="1"/>
    <col min="2315" max="2315" width="14" style="14" customWidth="1"/>
    <col min="2316" max="2316" width="14.7109375" style="14" customWidth="1"/>
    <col min="2317" max="2317" width="16.140625" style="14" customWidth="1"/>
    <col min="2318" max="2318" width="14.5703125" style="14" customWidth="1"/>
    <col min="2319" max="2319" width="15.28515625" style="14" customWidth="1"/>
    <col min="2320" max="2320" width="14.7109375" style="14" customWidth="1"/>
    <col min="2321" max="2321" width="16.42578125" style="14" customWidth="1"/>
    <col min="2322" max="2557" width="9.140625" style="14"/>
    <col min="2558" max="2558" width="20.7109375" style="14" customWidth="1"/>
    <col min="2559" max="2559" width="16.42578125" style="14" customWidth="1"/>
    <col min="2560" max="2560" width="13.28515625" style="14" customWidth="1"/>
    <col min="2561" max="2562" width="13.140625" style="14" customWidth="1"/>
    <col min="2563" max="2563" width="9.7109375" style="14" customWidth="1"/>
    <col min="2564" max="2564" width="10.42578125" style="14" customWidth="1"/>
    <col min="2565" max="2565" width="10" style="14" customWidth="1"/>
    <col min="2566" max="2566" width="9.7109375" style="14" customWidth="1"/>
    <col min="2567" max="2567" width="13.7109375" style="14" customWidth="1"/>
    <col min="2568" max="2569" width="14.5703125" style="14" customWidth="1"/>
    <col min="2570" max="2570" width="14.7109375" style="14" customWidth="1"/>
    <col min="2571" max="2571" width="14" style="14" customWidth="1"/>
    <col min="2572" max="2572" width="14.7109375" style="14" customWidth="1"/>
    <col min="2573" max="2573" width="16.140625" style="14" customWidth="1"/>
    <col min="2574" max="2574" width="14.5703125" style="14" customWidth="1"/>
    <col min="2575" max="2575" width="15.28515625" style="14" customWidth="1"/>
    <col min="2576" max="2576" width="14.7109375" style="14" customWidth="1"/>
    <col min="2577" max="2577" width="16.42578125" style="14" customWidth="1"/>
    <col min="2578" max="2813" width="9.140625" style="14"/>
    <col min="2814" max="2814" width="20.7109375" style="14" customWidth="1"/>
    <col min="2815" max="2815" width="16.42578125" style="14" customWidth="1"/>
    <col min="2816" max="2816" width="13.28515625" style="14" customWidth="1"/>
    <col min="2817" max="2818" width="13.140625" style="14" customWidth="1"/>
    <col min="2819" max="2819" width="9.7109375" style="14" customWidth="1"/>
    <col min="2820" max="2820" width="10.42578125" style="14" customWidth="1"/>
    <col min="2821" max="2821" width="10" style="14" customWidth="1"/>
    <col min="2822" max="2822" width="9.7109375" style="14" customWidth="1"/>
    <col min="2823" max="2823" width="13.7109375" style="14" customWidth="1"/>
    <col min="2824" max="2825" width="14.5703125" style="14" customWidth="1"/>
    <col min="2826" max="2826" width="14.7109375" style="14" customWidth="1"/>
    <col min="2827" max="2827" width="14" style="14" customWidth="1"/>
    <col min="2828" max="2828" width="14.7109375" style="14" customWidth="1"/>
    <col min="2829" max="2829" width="16.140625" style="14" customWidth="1"/>
    <col min="2830" max="2830" width="14.5703125" style="14" customWidth="1"/>
    <col min="2831" max="2831" width="15.28515625" style="14" customWidth="1"/>
    <col min="2832" max="2832" width="14.7109375" style="14" customWidth="1"/>
    <col min="2833" max="2833" width="16.42578125" style="14" customWidth="1"/>
    <col min="2834" max="3069" width="9.140625" style="14"/>
    <col min="3070" max="3070" width="20.7109375" style="14" customWidth="1"/>
    <col min="3071" max="3071" width="16.42578125" style="14" customWidth="1"/>
    <col min="3072" max="3072" width="13.28515625" style="14" customWidth="1"/>
    <col min="3073" max="3074" width="13.140625" style="14" customWidth="1"/>
    <col min="3075" max="3075" width="9.7109375" style="14" customWidth="1"/>
    <col min="3076" max="3076" width="10.42578125" style="14" customWidth="1"/>
    <col min="3077" max="3077" width="10" style="14" customWidth="1"/>
    <col min="3078" max="3078" width="9.7109375" style="14" customWidth="1"/>
    <col min="3079" max="3079" width="13.7109375" style="14" customWidth="1"/>
    <col min="3080" max="3081" width="14.5703125" style="14" customWidth="1"/>
    <col min="3082" max="3082" width="14.7109375" style="14" customWidth="1"/>
    <col min="3083" max="3083" width="14" style="14" customWidth="1"/>
    <col min="3084" max="3084" width="14.7109375" style="14" customWidth="1"/>
    <col min="3085" max="3085" width="16.140625" style="14" customWidth="1"/>
    <col min="3086" max="3086" width="14.5703125" style="14" customWidth="1"/>
    <col min="3087" max="3087" width="15.28515625" style="14" customWidth="1"/>
    <col min="3088" max="3088" width="14.7109375" style="14" customWidth="1"/>
    <col min="3089" max="3089" width="16.42578125" style="14" customWidth="1"/>
    <col min="3090" max="3325" width="9.140625" style="14"/>
    <col min="3326" max="3326" width="20.7109375" style="14" customWidth="1"/>
    <col min="3327" max="3327" width="16.42578125" style="14" customWidth="1"/>
    <col min="3328" max="3328" width="13.28515625" style="14" customWidth="1"/>
    <col min="3329" max="3330" width="13.140625" style="14" customWidth="1"/>
    <col min="3331" max="3331" width="9.7109375" style="14" customWidth="1"/>
    <col min="3332" max="3332" width="10.42578125" style="14" customWidth="1"/>
    <col min="3333" max="3333" width="10" style="14" customWidth="1"/>
    <col min="3334" max="3334" width="9.7109375" style="14" customWidth="1"/>
    <col min="3335" max="3335" width="13.7109375" style="14" customWidth="1"/>
    <col min="3336" max="3337" width="14.5703125" style="14" customWidth="1"/>
    <col min="3338" max="3338" width="14.7109375" style="14" customWidth="1"/>
    <col min="3339" max="3339" width="14" style="14" customWidth="1"/>
    <col min="3340" max="3340" width="14.7109375" style="14" customWidth="1"/>
    <col min="3341" max="3341" width="16.140625" style="14" customWidth="1"/>
    <col min="3342" max="3342" width="14.5703125" style="14" customWidth="1"/>
    <col min="3343" max="3343" width="15.28515625" style="14" customWidth="1"/>
    <col min="3344" max="3344" width="14.7109375" style="14" customWidth="1"/>
    <col min="3345" max="3345" width="16.42578125" style="14" customWidth="1"/>
    <col min="3346" max="3581" width="9.140625" style="14"/>
    <col min="3582" max="3582" width="20.7109375" style="14" customWidth="1"/>
    <col min="3583" max="3583" width="16.42578125" style="14" customWidth="1"/>
    <col min="3584" max="3584" width="13.28515625" style="14" customWidth="1"/>
    <col min="3585" max="3586" width="13.140625" style="14" customWidth="1"/>
    <col min="3587" max="3587" width="9.7109375" style="14" customWidth="1"/>
    <col min="3588" max="3588" width="10.42578125" style="14" customWidth="1"/>
    <col min="3589" max="3589" width="10" style="14" customWidth="1"/>
    <col min="3590" max="3590" width="9.7109375" style="14" customWidth="1"/>
    <col min="3591" max="3591" width="13.7109375" style="14" customWidth="1"/>
    <col min="3592" max="3593" width="14.5703125" style="14" customWidth="1"/>
    <col min="3594" max="3594" width="14.7109375" style="14" customWidth="1"/>
    <col min="3595" max="3595" width="14" style="14" customWidth="1"/>
    <col min="3596" max="3596" width="14.7109375" style="14" customWidth="1"/>
    <col min="3597" max="3597" width="16.140625" style="14" customWidth="1"/>
    <col min="3598" max="3598" width="14.5703125" style="14" customWidth="1"/>
    <col min="3599" max="3599" width="15.28515625" style="14" customWidth="1"/>
    <col min="3600" max="3600" width="14.7109375" style="14" customWidth="1"/>
    <col min="3601" max="3601" width="16.42578125" style="14" customWidth="1"/>
    <col min="3602" max="3837" width="9.140625" style="14"/>
    <col min="3838" max="3838" width="20.7109375" style="14" customWidth="1"/>
    <col min="3839" max="3839" width="16.42578125" style="14" customWidth="1"/>
    <col min="3840" max="3840" width="13.28515625" style="14" customWidth="1"/>
    <col min="3841" max="3842" width="13.140625" style="14" customWidth="1"/>
    <col min="3843" max="3843" width="9.7109375" style="14" customWidth="1"/>
    <col min="3844" max="3844" width="10.42578125" style="14" customWidth="1"/>
    <col min="3845" max="3845" width="10" style="14" customWidth="1"/>
    <col min="3846" max="3846" width="9.7109375" style="14" customWidth="1"/>
    <col min="3847" max="3847" width="13.7109375" style="14" customWidth="1"/>
    <col min="3848" max="3849" width="14.5703125" style="14" customWidth="1"/>
    <col min="3850" max="3850" width="14.7109375" style="14" customWidth="1"/>
    <col min="3851" max="3851" width="14" style="14" customWidth="1"/>
    <col min="3852" max="3852" width="14.7109375" style="14" customWidth="1"/>
    <col min="3853" max="3853" width="16.140625" style="14" customWidth="1"/>
    <col min="3854" max="3854" width="14.5703125" style="14" customWidth="1"/>
    <col min="3855" max="3855" width="15.28515625" style="14" customWidth="1"/>
    <col min="3856" max="3856" width="14.7109375" style="14" customWidth="1"/>
    <col min="3857" max="3857" width="16.42578125" style="14" customWidth="1"/>
    <col min="3858" max="4093" width="9.140625" style="14"/>
    <col min="4094" max="4094" width="20.7109375" style="14" customWidth="1"/>
    <col min="4095" max="4095" width="16.42578125" style="14" customWidth="1"/>
    <col min="4096" max="4096" width="13.28515625" style="14" customWidth="1"/>
    <col min="4097" max="4098" width="13.140625" style="14" customWidth="1"/>
    <col min="4099" max="4099" width="9.7109375" style="14" customWidth="1"/>
    <col min="4100" max="4100" width="10.42578125" style="14" customWidth="1"/>
    <col min="4101" max="4101" width="10" style="14" customWidth="1"/>
    <col min="4102" max="4102" width="9.7109375" style="14" customWidth="1"/>
    <col min="4103" max="4103" width="13.7109375" style="14" customWidth="1"/>
    <col min="4104" max="4105" width="14.5703125" style="14" customWidth="1"/>
    <col min="4106" max="4106" width="14.7109375" style="14" customWidth="1"/>
    <col min="4107" max="4107" width="14" style="14" customWidth="1"/>
    <col min="4108" max="4108" width="14.7109375" style="14" customWidth="1"/>
    <col min="4109" max="4109" width="16.140625" style="14" customWidth="1"/>
    <col min="4110" max="4110" width="14.5703125" style="14" customWidth="1"/>
    <col min="4111" max="4111" width="15.28515625" style="14" customWidth="1"/>
    <col min="4112" max="4112" width="14.7109375" style="14" customWidth="1"/>
    <col min="4113" max="4113" width="16.42578125" style="14" customWidth="1"/>
    <col min="4114" max="4349" width="9.140625" style="14"/>
    <col min="4350" max="4350" width="20.7109375" style="14" customWidth="1"/>
    <col min="4351" max="4351" width="16.42578125" style="14" customWidth="1"/>
    <col min="4352" max="4352" width="13.28515625" style="14" customWidth="1"/>
    <col min="4353" max="4354" width="13.140625" style="14" customWidth="1"/>
    <col min="4355" max="4355" width="9.7109375" style="14" customWidth="1"/>
    <col min="4356" max="4356" width="10.42578125" style="14" customWidth="1"/>
    <col min="4357" max="4357" width="10" style="14" customWidth="1"/>
    <col min="4358" max="4358" width="9.7109375" style="14" customWidth="1"/>
    <col min="4359" max="4359" width="13.7109375" style="14" customWidth="1"/>
    <col min="4360" max="4361" width="14.5703125" style="14" customWidth="1"/>
    <col min="4362" max="4362" width="14.7109375" style="14" customWidth="1"/>
    <col min="4363" max="4363" width="14" style="14" customWidth="1"/>
    <col min="4364" max="4364" width="14.7109375" style="14" customWidth="1"/>
    <col min="4365" max="4365" width="16.140625" style="14" customWidth="1"/>
    <col min="4366" max="4366" width="14.5703125" style="14" customWidth="1"/>
    <col min="4367" max="4367" width="15.28515625" style="14" customWidth="1"/>
    <col min="4368" max="4368" width="14.7109375" style="14" customWidth="1"/>
    <col min="4369" max="4369" width="16.42578125" style="14" customWidth="1"/>
    <col min="4370" max="4605" width="9.140625" style="14"/>
    <col min="4606" max="4606" width="20.7109375" style="14" customWidth="1"/>
    <col min="4607" max="4607" width="16.42578125" style="14" customWidth="1"/>
    <col min="4608" max="4608" width="13.28515625" style="14" customWidth="1"/>
    <col min="4609" max="4610" width="13.140625" style="14" customWidth="1"/>
    <col min="4611" max="4611" width="9.7109375" style="14" customWidth="1"/>
    <col min="4612" max="4612" width="10.42578125" style="14" customWidth="1"/>
    <col min="4613" max="4613" width="10" style="14" customWidth="1"/>
    <col min="4614" max="4614" width="9.7109375" style="14" customWidth="1"/>
    <col min="4615" max="4615" width="13.7109375" style="14" customWidth="1"/>
    <col min="4616" max="4617" width="14.5703125" style="14" customWidth="1"/>
    <col min="4618" max="4618" width="14.7109375" style="14" customWidth="1"/>
    <col min="4619" max="4619" width="14" style="14" customWidth="1"/>
    <col min="4620" max="4620" width="14.7109375" style="14" customWidth="1"/>
    <col min="4621" max="4621" width="16.140625" style="14" customWidth="1"/>
    <col min="4622" max="4622" width="14.5703125" style="14" customWidth="1"/>
    <col min="4623" max="4623" width="15.28515625" style="14" customWidth="1"/>
    <col min="4624" max="4624" width="14.7109375" style="14" customWidth="1"/>
    <col min="4625" max="4625" width="16.42578125" style="14" customWidth="1"/>
    <col min="4626" max="4861" width="9.140625" style="14"/>
    <col min="4862" max="4862" width="20.7109375" style="14" customWidth="1"/>
    <col min="4863" max="4863" width="16.42578125" style="14" customWidth="1"/>
    <col min="4864" max="4864" width="13.28515625" style="14" customWidth="1"/>
    <col min="4865" max="4866" width="13.140625" style="14" customWidth="1"/>
    <col min="4867" max="4867" width="9.7109375" style="14" customWidth="1"/>
    <col min="4868" max="4868" width="10.42578125" style="14" customWidth="1"/>
    <col min="4869" max="4869" width="10" style="14" customWidth="1"/>
    <col min="4870" max="4870" width="9.7109375" style="14" customWidth="1"/>
    <col min="4871" max="4871" width="13.7109375" style="14" customWidth="1"/>
    <col min="4872" max="4873" width="14.5703125" style="14" customWidth="1"/>
    <col min="4874" max="4874" width="14.7109375" style="14" customWidth="1"/>
    <col min="4875" max="4875" width="14" style="14" customWidth="1"/>
    <col min="4876" max="4876" width="14.7109375" style="14" customWidth="1"/>
    <col min="4877" max="4877" width="16.140625" style="14" customWidth="1"/>
    <col min="4878" max="4878" width="14.5703125" style="14" customWidth="1"/>
    <col min="4879" max="4879" width="15.28515625" style="14" customWidth="1"/>
    <col min="4880" max="4880" width="14.7109375" style="14" customWidth="1"/>
    <col min="4881" max="4881" width="16.42578125" style="14" customWidth="1"/>
    <col min="4882" max="5117" width="9.140625" style="14"/>
    <col min="5118" max="5118" width="20.7109375" style="14" customWidth="1"/>
    <col min="5119" max="5119" width="16.42578125" style="14" customWidth="1"/>
    <col min="5120" max="5120" width="13.28515625" style="14" customWidth="1"/>
    <col min="5121" max="5122" width="13.140625" style="14" customWidth="1"/>
    <col min="5123" max="5123" width="9.7109375" style="14" customWidth="1"/>
    <col min="5124" max="5124" width="10.42578125" style="14" customWidth="1"/>
    <col min="5125" max="5125" width="10" style="14" customWidth="1"/>
    <col min="5126" max="5126" width="9.7109375" style="14" customWidth="1"/>
    <col min="5127" max="5127" width="13.7109375" style="14" customWidth="1"/>
    <col min="5128" max="5129" width="14.5703125" style="14" customWidth="1"/>
    <col min="5130" max="5130" width="14.7109375" style="14" customWidth="1"/>
    <col min="5131" max="5131" width="14" style="14" customWidth="1"/>
    <col min="5132" max="5132" width="14.7109375" style="14" customWidth="1"/>
    <col min="5133" max="5133" width="16.140625" style="14" customWidth="1"/>
    <col min="5134" max="5134" width="14.5703125" style="14" customWidth="1"/>
    <col min="5135" max="5135" width="15.28515625" style="14" customWidth="1"/>
    <col min="5136" max="5136" width="14.7109375" style="14" customWidth="1"/>
    <col min="5137" max="5137" width="16.42578125" style="14" customWidth="1"/>
    <col min="5138" max="5373" width="9.140625" style="14"/>
    <col min="5374" max="5374" width="20.7109375" style="14" customWidth="1"/>
    <col min="5375" max="5375" width="16.42578125" style="14" customWidth="1"/>
    <col min="5376" max="5376" width="13.28515625" style="14" customWidth="1"/>
    <col min="5377" max="5378" width="13.140625" style="14" customWidth="1"/>
    <col min="5379" max="5379" width="9.7109375" style="14" customWidth="1"/>
    <col min="5380" max="5380" width="10.42578125" style="14" customWidth="1"/>
    <col min="5381" max="5381" width="10" style="14" customWidth="1"/>
    <col min="5382" max="5382" width="9.7109375" style="14" customWidth="1"/>
    <col min="5383" max="5383" width="13.7109375" style="14" customWidth="1"/>
    <col min="5384" max="5385" width="14.5703125" style="14" customWidth="1"/>
    <col min="5386" max="5386" width="14.7109375" style="14" customWidth="1"/>
    <col min="5387" max="5387" width="14" style="14" customWidth="1"/>
    <col min="5388" max="5388" width="14.7109375" style="14" customWidth="1"/>
    <col min="5389" max="5389" width="16.140625" style="14" customWidth="1"/>
    <col min="5390" max="5390" width="14.5703125" style="14" customWidth="1"/>
    <col min="5391" max="5391" width="15.28515625" style="14" customWidth="1"/>
    <col min="5392" max="5392" width="14.7109375" style="14" customWidth="1"/>
    <col min="5393" max="5393" width="16.42578125" style="14" customWidth="1"/>
    <col min="5394" max="5629" width="9.140625" style="14"/>
    <col min="5630" max="5630" width="20.7109375" style="14" customWidth="1"/>
    <col min="5631" max="5631" width="16.42578125" style="14" customWidth="1"/>
    <col min="5632" max="5632" width="13.28515625" style="14" customWidth="1"/>
    <col min="5633" max="5634" width="13.140625" style="14" customWidth="1"/>
    <col min="5635" max="5635" width="9.7109375" style="14" customWidth="1"/>
    <col min="5636" max="5636" width="10.42578125" style="14" customWidth="1"/>
    <col min="5637" max="5637" width="10" style="14" customWidth="1"/>
    <col min="5638" max="5638" width="9.7109375" style="14" customWidth="1"/>
    <col min="5639" max="5639" width="13.7109375" style="14" customWidth="1"/>
    <col min="5640" max="5641" width="14.5703125" style="14" customWidth="1"/>
    <col min="5642" max="5642" width="14.7109375" style="14" customWidth="1"/>
    <col min="5643" max="5643" width="14" style="14" customWidth="1"/>
    <col min="5644" max="5644" width="14.7109375" style="14" customWidth="1"/>
    <col min="5645" max="5645" width="16.140625" style="14" customWidth="1"/>
    <col min="5646" max="5646" width="14.5703125" style="14" customWidth="1"/>
    <col min="5647" max="5647" width="15.28515625" style="14" customWidth="1"/>
    <col min="5648" max="5648" width="14.7109375" style="14" customWidth="1"/>
    <col min="5649" max="5649" width="16.42578125" style="14" customWidth="1"/>
    <col min="5650" max="5885" width="9.140625" style="14"/>
    <col min="5886" max="5886" width="20.7109375" style="14" customWidth="1"/>
    <col min="5887" max="5887" width="16.42578125" style="14" customWidth="1"/>
    <col min="5888" max="5888" width="13.28515625" style="14" customWidth="1"/>
    <col min="5889" max="5890" width="13.140625" style="14" customWidth="1"/>
    <col min="5891" max="5891" width="9.7109375" style="14" customWidth="1"/>
    <col min="5892" max="5892" width="10.42578125" style="14" customWidth="1"/>
    <col min="5893" max="5893" width="10" style="14" customWidth="1"/>
    <col min="5894" max="5894" width="9.7109375" style="14" customWidth="1"/>
    <col min="5895" max="5895" width="13.7109375" style="14" customWidth="1"/>
    <col min="5896" max="5897" width="14.5703125" style="14" customWidth="1"/>
    <col min="5898" max="5898" width="14.7109375" style="14" customWidth="1"/>
    <col min="5899" max="5899" width="14" style="14" customWidth="1"/>
    <col min="5900" max="5900" width="14.7109375" style="14" customWidth="1"/>
    <col min="5901" max="5901" width="16.140625" style="14" customWidth="1"/>
    <col min="5902" max="5902" width="14.5703125" style="14" customWidth="1"/>
    <col min="5903" max="5903" width="15.28515625" style="14" customWidth="1"/>
    <col min="5904" max="5904" width="14.7109375" style="14" customWidth="1"/>
    <col min="5905" max="5905" width="16.42578125" style="14" customWidth="1"/>
    <col min="5906" max="6141" width="9.140625" style="14"/>
    <col min="6142" max="6142" width="20.7109375" style="14" customWidth="1"/>
    <col min="6143" max="6143" width="16.42578125" style="14" customWidth="1"/>
    <col min="6144" max="6144" width="13.28515625" style="14" customWidth="1"/>
    <col min="6145" max="6146" width="13.140625" style="14" customWidth="1"/>
    <col min="6147" max="6147" width="9.7109375" style="14" customWidth="1"/>
    <col min="6148" max="6148" width="10.42578125" style="14" customWidth="1"/>
    <col min="6149" max="6149" width="10" style="14" customWidth="1"/>
    <col min="6150" max="6150" width="9.7109375" style="14" customWidth="1"/>
    <col min="6151" max="6151" width="13.7109375" style="14" customWidth="1"/>
    <col min="6152" max="6153" width="14.5703125" style="14" customWidth="1"/>
    <col min="6154" max="6154" width="14.7109375" style="14" customWidth="1"/>
    <col min="6155" max="6155" width="14" style="14" customWidth="1"/>
    <col min="6156" max="6156" width="14.7109375" style="14" customWidth="1"/>
    <col min="6157" max="6157" width="16.140625" style="14" customWidth="1"/>
    <col min="6158" max="6158" width="14.5703125" style="14" customWidth="1"/>
    <col min="6159" max="6159" width="15.28515625" style="14" customWidth="1"/>
    <col min="6160" max="6160" width="14.7109375" style="14" customWidth="1"/>
    <col min="6161" max="6161" width="16.42578125" style="14" customWidth="1"/>
    <col min="6162" max="6397" width="9.140625" style="14"/>
    <col min="6398" max="6398" width="20.7109375" style="14" customWidth="1"/>
    <col min="6399" max="6399" width="16.42578125" style="14" customWidth="1"/>
    <col min="6400" max="6400" width="13.28515625" style="14" customWidth="1"/>
    <col min="6401" max="6402" width="13.140625" style="14" customWidth="1"/>
    <col min="6403" max="6403" width="9.7109375" style="14" customWidth="1"/>
    <col min="6404" max="6404" width="10.42578125" style="14" customWidth="1"/>
    <col min="6405" max="6405" width="10" style="14" customWidth="1"/>
    <col min="6406" max="6406" width="9.7109375" style="14" customWidth="1"/>
    <col min="6407" max="6407" width="13.7109375" style="14" customWidth="1"/>
    <col min="6408" max="6409" width="14.5703125" style="14" customWidth="1"/>
    <col min="6410" max="6410" width="14.7109375" style="14" customWidth="1"/>
    <col min="6411" max="6411" width="14" style="14" customWidth="1"/>
    <col min="6412" max="6412" width="14.7109375" style="14" customWidth="1"/>
    <col min="6413" max="6413" width="16.140625" style="14" customWidth="1"/>
    <col min="6414" max="6414" width="14.5703125" style="14" customWidth="1"/>
    <col min="6415" max="6415" width="15.28515625" style="14" customWidth="1"/>
    <col min="6416" max="6416" width="14.7109375" style="14" customWidth="1"/>
    <col min="6417" max="6417" width="16.42578125" style="14" customWidth="1"/>
    <col min="6418" max="6653" width="9.140625" style="14"/>
    <col min="6654" max="6654" width="20.7109375" style="14" customWidth="1"/>
    <col min="6655" max="6655" width="16.42578125" style="14" customWidth="1"/>
    <col min="6656" max="6656" width="13.28515625" style="14" customWidth="1"/>
    <col min="6657" max="6658" width="13.140625" style="14" customWidth="1"/>
    <col min="6659" max="6659" width="9.7109375" style="14" customWidth="1"/>
    <col min="6660" max="6660" width="10.42578125" style="14" customWidth="1"/>
    <col min="6661" max="6661" width="10" style="14" customWidth="1"/>
    <col min="6662" max="6662" width="9.7109375" style="14" customWidth="1"/>
    <col min="6663" max="6663" width="13.7109375" style="14" customWidth="1"/>
    <col min="6664" max="6665" width="14.5703125" style="14" customWidth="1"/>
    <col min="6666" max="6666" width="14.7109375" style="14" customWidth="1"/>
    <col min="6667" max="6667" width="14" style="14" customWidth="1"/>
    <col min="6668" max="6668" width="14.7109375" style="14" customWidth="1"/>
    <col min="6669" max="6669" width="16.140625" style="14" customWidth="1"/>
    <col min="6670" max="6670" width="14.5703125" style="14" customWidth="1"/>
    <col min="6671" max="6671" width="15.28515625" style="14" customWidth="1"/>
    <col min="6672" max="6672" width="14.7109375" style="14" customWidth="1"/>
    <col min="6673" max="6673" width="16.42578125" style="14" customWidth="1"/>
    <col min="6674" max="6909" width="9.140625" style="14"/>
    <col min="6910" max="6910" width="20.7109375" style="14" customWidth="1"/>
    <col min="6911" max="6911" width="16.42578125" style="14" customWidth="1"/>
    <col min="6912" max="6912" width="13.28515625" style="14" customWidth="1"/>
    <col min="6913" max="6914" width="13.140625" style="14" customWidth="1"/>
    <col min="6915" max="6915" width="9.7109375" style="14" customWidth="1"/>
    <col min="6916" max="6916" width="10.42578125" style="14" customWidth="1"/>
    <col min="6917" max="6917" width="10" style="14" customWidth="1"/>
    <col min="6918" max="6918" width="9.7109375" style="14" customWidth="1"/>
    <col min="6919" max="6919" width="13.7109375" style="14" customWidth="1"/>
    <col min="6920" max="6921" width="14.5703125" style="14" customWidth="1"/>
    <col min="6922" max="6922" width="14.7109375" style="14" customWidth="1"/>
    <col min="6923" max="6923" width="14" style="14" customWidth="1"/>
    <col min="6924" max="6924" width="14.7109375" style="14" customWidth="1"/>
    <col min="6925" max="6925" width="16.140625" style="14" customWidth="1"/>
    <col min="6926" max="6926" width="14.5703125" style="14" customWidth="1"/>
    <col min="6927" max="6927" width="15.28515625" style="14" customWidth="1"/>
    <col min="6928" max="6928" width="14.7109375" style="14" customWidth="1"/>
    <col min="6929" max="6929" width="16.42578125" style="14" customWidth="1"/>
    <col min="6930" max="7165" width="9.140625" style="14"/>
    <col min="7166" max="7166" width="20.7109375" style="14" customWidth="1"/>
    <col min="7167" max="7167" width="16.42578125" style="14" customWidth="1"/>
    <col min="7168" max="7168" width="13.28515625" style="14" customWidth="1"/>
    <col min="7169" max="7170" width="13.140625" style="14" customWidth="1"/>
    <col min="7171" max="7171" width="9.7109375" style="14" customWidth="1"/>
    <col min="7172" max="7172" width="10.42578125" style="14" customWidth="1"/>
    <col min="7173" max="7173" width="10" style="14" customWidth="1"/>
    <col min="7174" max="7174" width="9.7109375" style="14" customWidth="1"/>
    <col min="7175" max="7175" width="13.7109375" style="14" customWidth="1"/>
    <col min="7176" max="7177" width="14.5703125" style="14" customWidth="1"/>
    <col min="7178" max="7178" width="14.7109375" style="14" customWidth="1"/>
    <col min="7179" max="7179" width="14" style="14" customWidth="1"/>
    <col min="7180" max="7180" width="14.7109375" style="14" customWidth="1"/>
    <col min="7181" max="7181" width="16.140625" style="14" customWidth="1"/>
    <col min="7182" max="7182" width="14.5703125" style="14" customWidth="1"/>
    <col min="7183" max="7183" width="15.28515625" style="14" customWidth="1"/>
    <col min="7184" max="7184" width="14.7109375" style="14" customWidth="1"/>
    <col min="7185" max="7185" width="16.42578125" style="14" customWidth="1"/>
    <col min="7186" max="7421" width="9.140625" style="14"/>
    <col min="7422" max="7422" width="20.7109375" style="14" customWidth="1"/>
    <col min="7423" max="7423" width="16.42578125" style="14" customWidth="1"/>
    <col min="7424" max="7424" width="13.28515625" style="14" customWidth="1"/>
    <col min="7425" max="7426" width="13.140625" style="14" customWidth="1"/>
    <col min="7427" max="7427" width="9.7109375" style="14" customWidth="1"/>
    <col min="7428" max="7428" width="10.42578125" style="14" customWidth="1"/>
    <col min="7429" max="7429" width="10" style="14" customWidth="1"/>
    <col min="7430" max="7430" width="9.7109375" style="14" customWidth="1"/>
    <col min="7431" max="7431" width="13.7109375" style="14" customWidth="1"/>
    <col min="7432" max="7433" width="14.5703125" style="14" customWidth="1"/>
    <col min="7434" max="7434" width="14.7109375" style="14" customWidth="1"/>
    <col min="7435" max="7435" width="14" style="14" customWidth="1"/>
    <col min="7436" max="7436" width="14.7109375" style="14" customWidth="1"/>
    <col min="7437" max="7437" width="16.140625" style="14" customWidth="1"/>
    <col min="7438" max="7438" width="14.5703125" style="14" customWidth="1"/>
    <col min="7439" max="7439" width="15.28515625" style="14" customWidth="1"/>
    <col min="7440" max="7440" width="14.7109375" style="14" customWidth="1"/>
    <col min="7441" max="7441" width="16.42578125" style="14" customWidth="1"/>
    <col min="7442" max="7677" width="9.140625" style="14"/>
    <col min="7678" max="7678" width="20.7109375" style="14" customWidth="1"/>
    <col min="7679" max="7679" width="16.42578125" style="14" customWidth="1"/>
    <col min="7680" max="7680" width="13.28515625" style="14" customWidth="1"/>
    <col min="7681" max="7682" width="13.140625" style="14" customWidth="1"/>
    <col min="7683" max="7683" width="9.7109375" style="14" customWidth="1"/>
    <col min="7684" max="7684" width="10.42578125" style="14" customWidth="1"/>
    <col min="7685" max="7685" width="10" style="14" customWidth="1"/>
    <col min="7686" max="7686" width="9.7109375" style="14" customWidth="1"/>
    <col min="7687" max="7687" width="13.7109375" style="14" customWidth="1"/>
    <col min="7688" max="7689" width="14.5703125" style="14" customWidth="1"/>
    <col min="7690" max="7690" width="14.7109375" style="14" customWidth="1"/>
    <col min="7691" max="7691" width="14" style="14" customWidth="1"/>
    <col min="7692" max="7692" width="14.7109375" style="14" customWidth="1"/>
    <col min="7693" max="7693" width="16.140625" style="14" customWidth="1"/>
    <col min="7694" max="7694" width="14.5703125" style="14" customWidth="1"/>
    <col min="7695" max="7695" width="15.28515625" style="14" customWidth="1"/>
    <col min="7696" max="7696" width="14.7109375" style="14" customWidth="1"/>
    <col min="7697" max="7697" width="16.42578125" style="14" customWidth="1"/>
    <col min="7698" max="7933" width="9.140625" style="14"/>
    <col min="7934" max="7934" width="20.7109375" style="14" customWidth="1"/>
    <col min="7935" max="7935" width="16.42578125" style="14" customWidth="1"/>
    <col min="7936" max="7936" width="13.28515625" style="14" customWidth="1"/>
    <col min="7937" max="7938" width="13.140625" style="14" customWidth="1"/>
    <col min="7939" max="7939" width="9.7109375" style="14" customWidth="1"/>
    <col min="7940" max="7940" width="10.42578125" style="14" customWidth="1"/>
    <col min="7941" max="7941" width="10" style="14" customWidth="1"/>
    <col min="7942" max="7942" width="9.7109375" style="14" customWidth="1"/>
    <col min="7943" max="7943" width="13.7109375" style="14" customWidth="1"/>
    <col min="7944" max="7945" width="14.5703125" style="14" customWidth="1"/>
    <col min="7946" max="7946" width="14.7109375" style="14" customWidth="1"/>
    <col min="7947" max="7947" width="14" style="14" customWidth="1"/>
    <col min="7948" max="7948" width="14.7109375" style="14" customWidth="1"/>
    <col min="7949" max="7949" width="16.140625" style="14" customWidth="1"/>
    <col min="7950" max="7950" width="14.5703125" style="14" customWidth="1"/>
    <col min="7951" max="7951" width="15.28515625" style="14" customWidth="1"/>
    <col min="7952" max="7952" width="14.7109375" style="14" customWidth="1"/>
    <col min="7953" max="7953" width="16.42578125" style="14" customWidth="1"/>
    <col min="7954" max="8189" width="9.140625" style="14"/>
    <col min="8190" max="8190" width="20.7109375" style="14" customWidth="1"/>
    <col min="8191" max="8191" width="16.42578125" style="14" customWidth="1"/>
    <col min="8192" max="8192" width="13.28515625" style="14" customWidth="1"/>
    <col min="8193" max="8194" width="13.140625" style="14" customWidth="1"/>
    <col min="8195" max="8195" width="9.7109375" style="14" customWidth="1"/>
    <col min="8196" max="8196" width="10.42578125" style="14" customWidth="1"/>
    <col min="8197" max="8197" width="10" style="14" customWidth="1"/>
    <col min="8198" max="8198" width="9.7109375" style="14" customWidth="1"/>
    <col min="8199" max="8199" width="13.7109375" style="14" customWidth="1"/>
    <col min="8200" max="8201" width="14.5703125" style="14" customWidth="1"/>
    <col min="8202" max="8202" width="14.7109375" style="14" customWidth="1"/>
    <col min="8203" max="8203" width="14" style="14" customWidth="1"/>
    <col min="8204" max="8204" width="14.7109375" style="14" customWidth="1"/>
    <col min="8205" max="8205" width="16.140625" style="14" customWidth="1"/>
    <col min="8206" max="8206" width="14.5703125" style="14" customWidth="1"/>
    <col min="8207" max="8207" width="15.28515625" style="14" customWidth="1"/>
    <col min="8208" max="8208" width="14.7109375" style="14" customWidth="1"/>
    <col min="8209" max="8209" width="16.42578125" style="14" customWidth="1"/>
    <col min="8210" max="8445" width="9.140625" style="14"/>
    <col min="8446" max="8446" width="20.7109375" style="14" customWidth="1"/>
    <col min="8447" max="8447" width="16.42578125" style="14" customWidth="1"/>
    <col min="8448" max="8448" width="13.28515625" style="14" customWidth="1"/>
    <col min="8449" max="8450" width="13.140625" style="14" customWidth="1"/>
    <col min="8451" max="8451" width="9.7109375" style="14" customWidth="1"/>
    <col min="8452" max="8452" width="10.42578125" style="14" customWidth="1"/>
    <col min="8453" max="8453" width="10" style="14" customWidth="1"/>
    <col min="8454" max="8454" width="9.7109375" style="14" customWidth="1"/>
    <col min="8455" max="8455" width="13.7109375" style="14" customWidth="1"/>
    <col min="8456" max="8457" width="14.5703125" style="14" customWidth="1"/>
    <col min="8458" max="8458" width="14.7109375" style="14" customWidth="1"/>
    <col min="8459" max="8459" width="14" style="14" customWidth="1"/>
    <col min="8460" max="8460" width="14.7109375" style="14" customWidth="1"/>
    <col min="8461" max="8461" width="16.140625" style="14" customWidth="1"/>
    <col min="8462" max="8462" width="14.5703125" style="14" customWidth="1"/>
    <col min="8463" max="8463" width="15.28515625" style="14" customWidth="1"/>
    <col min="8464" max="8464" width="14.7109375" style="14" customWidth="1"/>
    <col min="8465" max="8465" width="16.42578125" style="14" customWidth="1"/>
    <col min="8466" max="8701" width="9.140625" style="14"/>
    <col min="8702" max="8702" width="20.7109375" style="14" customWidth="1"/>
    <col min="8703" max="8703" width="16.42578125" style="14" customWidth="1"/>
    <col min="8704" max="8704" width="13.28515625" style="14" customWidth="1"/>
    <col min="8705" max="8706" width="13.140625" style="14" customWidth="1"/>
    <col min="8707" max="8707" width="9.7109375" style="14" customWidth="1"/>
    <col min="8708" max="8708" width="10.42578125" style="14" customWidth="1"/>
    <col min="8709" max="8709" width="10" style="14" customWidth="1"/>
    <col min="8710" max="8710" width="9.7109375" style="14" customWidth="1"/>
    <col min="8711" max="8711" width="13.7109375" style="14" customWidth="1"/>
    <col min="8712" max="8713" width="14.5703125" style="14" customWidth="1"/>
    <col min="8714" max="8714" width="14.7109375" style="14" customWidth="1"/>
    <col min="8715" max="8715" width="14" style="14" customWidth="1"/>
    <col min="8716" max="8716" width="14.7109375" style="14" customWidth="1"/>
    <col min="8717" max="8717" width="16.140625" style="14" customWidth="1"/>
    <col min="8718" max="8718" width="14.5703125" style="14" customWidth="1"/>
    <col min="8719" max="8719" width="15.28515625" style="14" customWidth="1"/>
    <col min="8720" max="8720" width="14.7109375" style="14" customWidth="1"/>
    <col min="8721" max="8721" width="16.42578125" style="14" customWidth="1"/>
    <col min="8722" max="8957" width="9.140625" style="14"/>
    <col min="8958" max="8958" width="20.7109375" style="14" customWidth="1"/>
    <col min="8959" max="8959" width="16.42578125" style="14" customWidth="1"/>
    <col min="8960" max="8960" width="13.28515625" style="14" customWidth="1"/>
    <col min="8961" max="8962" width="13.140625" style="14" customWidth="1"/>
    <col min="8963" max="8963" width="9.7109375" style="14" customWidth="1"/>
    <col min="8964" max="8964" width="10.42578125" style="14" customWidth="1"/>
    <col min="8965" max="8965" width="10" style="14" customWidth="1"/>
    <col min="8966" max="8966" width="9.7109375" style="14" customWidth="1"/>
    <col min="8967" max="8967" width="13.7109375" style="14" customWidth="1"/>
    <col min="8968" max="8969" width="14.5703125" style="14" customWidth="1"/>
    <col min="8970" max="8970" width="14.7109375" style="14" customWidth="1"/>
    <col min="8971" max="8971" width="14" style="14" customWidth="1"/>
    <col min="8972" max="8972" width="14.7109375" style="14" customWidth="1"/>
    <col min="8973" max="8973" width="16.140625" style="14" customWidth="1"/>
    <col min="8974" max="8974" width="14.5703125" style="14" customWidth="1"/>
    <col min="8975" max="8975" width="15.28515625" style="14" customWidth="1"/>
    <col min="8976" max="8976" width="14.7109375" style="14" customWidth="1"/>
    <col min="8977" max="8977" width="16.42578125" style="14" customWidth="1"/>
    <col min="8978" max="9213" width="9.140625" style="14"/>
    <col min="9214" max="9214" width="20.7109375" style="14" customWidth="1"/>
    <col min="9215" max="9215" width="16.42578125" style="14" customWidth="1"/>
    <col min="9216" max="9216" width="13.28515625" style="14" customWidth="1"/>
    <col min="9217" max="9218" width="13.140625" style="14" customWidth="1"/>
    <col min="9219" max="9219" width="9.7109375" style="14" customWidth="1"/>
    <col min="9220" max="9220" width="10.42578125" style="14" customWidth="1"/>
    <col min="9221" max="9221" width="10" style="14" customWidth="1"/>
    <col min="9222" max="9222" width="9.7109375" style="14" customWidth="1"/>
    <col min="9223" max="9223" width="13.7109375" style="14" customWidth="1"/>
    <col min="9224" max="9225" width="14.5703125" style="14" customWidth="1"/>
    <col min="9226" max="9226" width="14.7109375" style="14" customWidth="1"/>
    <col min="9227" max="9227" width="14" style="14" customWidth="1"/>
    <col min="9228" max="9228" width="14.7109375" style="14" customWidth="1"/>
    <col min="9229" max="9229" width="16.140625" style="14" customWidth="1"/>
    <col min="9230" max="9230" width="14.5703125" style="14" customWidth="1"/>
    <col min="9231" max="9231" width="15.28515625" style="14" customWidth="1"/>
    <col min="9232" max="9232" width="14.7109375" style="14" customWidth="1"/>
    <col min="9233" max="9233" width="16.42578125" style="14" customWidth="1"/>
    <col min="9234" max="9469" width="9.140625" style="14"/>
    <col min="9470" max="9470" width="20.7109375" style="14" customWidth="1"/>
    <col min="9471" max="9471" width="16.42578125" style="14" customWidth="1"/>
    <col min="9472" max="9472" width="13.28515625" style="14" customWidth="1"/>
    <col min="9473" max="9474" width="13.140625" style="14" customWidth="1"/>
    <col min="9475" max="9475" width="9.7109375" style="14" customWidth="1"/>
    <col min="9476" max="9476" width="10.42578125" style="14" customWidth="1"/>
    <col min="9477" max="9477" width="10" style="14" customWidth="1"/>
    <col min="9478" max="9478" width="9.7109375" style="14" customWidth="1"/>
    <col min="9479" max="9479" width="13.7109375" style="14" customWidth="1"/>
    <col min="9480" max="9481" width="14.5703125" style="14" customWidth="1"/>
    <col min="9482" max="9482" width="14.7109375" style="14" customWidth="1"/>
    <col min="9483" max="9483" width="14" style="14" customWidth="1"/>
    <col min="9484" max="9484" width="14.7109375" style="14" customWidth="1"/>
    <col min="9485" max="9485" width="16.140625" style="14" customWidth="1"/>
    <col min="9486" max="9486" width="14.5703125" style="14" customWidth="1"/>
    <col min="9487" max="9487" width="15.28515625" style="14" customWidth="1"/>
    <col min="9488" max="9488" width="14.7109375" style="14" customWidth="1"/>
    <col min="9489" max="9489" width="16.42578125" style="14" customWidth="1"/>
    <col min="9490" max="9725" width="9.140625" style="14"/>
    <col min="9726" max="9726" width="20.7109375" style="14" customWidth="1"/>
    <col min="9727" max="9727" width="16.42578125" style="14" customWidth="1"/>
    <col min="9728" max="9728" width="13.28515625" style="14" customWidth="1"/>
    <col min="9729" max="9730" width="13.140625" style="14" customWidth="1"/>
    <col min="9731" max="9731" width="9.7109375" style="14" customWidth="1"/>
    <col min="9732" max="9732" width="10.42578125" style="14" customWidth="1"/>
    <col min="9733" max="9733" width="10" style="14" customWidth="1"/>
    <col min="9734" max="9734" width="9.7109375" style="14" customWidth="1"/>
    <col min="9735" max="9735" width="13.7109375" style="14" customWidth="1"/>
    <col min="9736" max="9737" width="14.5703125" style="14" customWidth="1"/>
    <col min="9738" max="9738" width="14.7109375" style="14" customWidth="1"/>
    <col min="9739" max="9739" width="14" style="14" customWidth="1"/>
    <col min="9740" max="9740" width="14.7109375" style="14" customWidth="1"/>
    <col min="9741" max="9741" width="16.140625" style="14" customWidth="1"/>
    <col min="9742" max="9742" width="14.5703125" style="14" customWidth="1"/>
    <col min="9743" max="9743" width="15.28515625" style="14" customWidth="1"/>
    <col min="9744" max="9744" width="14.7109375" style="14" customWidth="1"/>
    <col min="9745" max="9745" width="16.42578125" style="14" customWidth="1"/>
    <col min="9746" max="9981" width="9.140625" style="14"/>
    <col min="9982" max="9982" width="20.7109375" style="14" customWidth="1"/>
    <col min="9983" max="9983" width="16.42578125" style="14" customWidth="1"/>
    <col min="9984" max="9984" width="13.28515625" style="14" customWidth="1"/>
    <col min="9985" max="9986" width="13.140625" style="14" customWidth="1"/>
    <col min="9987" max="9987" width="9.7109375" style="14" customWidth="1"/>
    <col min="9988" max="9988" width="10.42578125" style="14" customWidth="1"/>
    <col min="9989" max="9989" width="10" style="14" customWidth="1"/>
    <col min="9990" max="9990" width="9.7109375" style="14" customWidth="1"/>
    <col min="9991" max="9991" width="13.7109375" style="14" customWidth="1"/>
    <col min="9992" max="9993" width="14.5703125" style="14" customWidth="1"/>
    <col min="9994" max="9994" width="14.7109375" style="14" customWidth="1"/>
    <col min="9995" max="9995" width="14" style="14" customWidth="1"/>
    <col min="9996" max="9996" width="14.7109375" style="14" customWidth="1"/>
    <col min="9997" max="9997" width="16.140625" style="14" customWidth="1"/>
    <col min="9998" max="9998" width="14.5703125" style="14" customWidth="1"/>
    <col min="9999" max="9999" width="15.28515625" style="14" customWidth="1"/>
    <col min="10000" max="10000" width="14.7109375" style="14" customWidth="1"/>
    <col min="10001" max="10001" width="16.42578125" style="14" customWidth="1"/>
    <col min="10002" max="10237" width="9.140625" style="14"/>
    <col min="10238" max="10238" width="20.7109375" style="14" customWidth="1"/>
    <col min="10239" max="10239" width="16.42578125" style="14" customWidth="1"/>
    <col min="10240" max="10240" width="13.28515625" style="14" customWidth="1"/>
    <col min="10241" max="10242" width="13.140625" style="14" customWidth="1"/>
    <col min="10243" max="10243" width="9.7109375" style="14" customWidth="1"/>
    <col min="10244" max="10244" width="10.42578125" style="14" customWidth="1"/>
    <col min="10245" max="10245" width="10" style="14" customWidth="1"/>
    <col min="10246" max="10246" width="9.7109375" style="14" customWidth="1"/>
    <col min="10247" max="10247" width="13.7109375" style="14" customWidth="1"/>
    <col min="10248" max="10249" width="14.5703125" style="14" customWidth="1"/>
    <col min="10250" max="10250" width="14.7109375" style="14" customWidth="1"/>
    <col min="10251" max="10251" width="14" style="14" customWidth="1"/>
    <col min="10252" max="10252" width="14.7109375" style="14" customWidth="1"/>
    <col min="10253" max="10253" width="16.140625" style="14" customWidth="1"/>
    <col min="10254" max="10254" width="14.5703125" style="14" customWidth="1"/>
    <col min="10255" max="10255" width="15.28515625" style="14" customWidth="1"/>
    <col min="10256" max="10256" width="14.7109375" style="14" customWidth="1"/>
    <col min="10257" max="10257" width="16.42578125" style="14" customWidth="1"/>
    <col min="10258" max="10493" width="9.140625" style="14"/>
    <col min="10494" max="10494" width="20.7109375" style="14" customWidth="1"/>
    <col min="10495" max="10495" width="16.42578125" style="14" customWidth="1"/>
    <col min="10496" max="10496" width="13.28515625" style="14" customWidth="1"/>
    <col min="10497" max="10498" width="13.140625" style="14" customWidth="1"/>
    <col min="10499" max="10499" width="9.7109375" style="14" customWidth="1"/>
    <col min="10500" max="10500" width="10.42578125" style="14" customWidth="1"/>
    <col min="10501" max="10501" width="10" style="14" customWidth="1"/>
    <col min="10502" max="10502" width="9.7109375" style="14" customWidth="1"/>
    <col min="10503" max="10503" width="13.7109375" style="14" customWidth="1"/>
    <col min="10504" max="10505" width="14.5703125" style="14" customWidth="1"/>
    <col min="10506" max="10506" width="14.7109375" style="14" customWidth="1"/>
    <col min="10507" max="10507" width="14" style="14" customWidth="1"/>
    <col min="10508" max="10508" width="14.7109375" style="14" customWidth="1"/>
    <col min="10509" max="10509" width="16.140625" style="14" customWidth="1"/>
    <col min="10510" max="10510" width="14.5703125" style="14" customWidth="1"/>
    <col min="10511" max="10511" width="15.28515625" style="14" customWidth="1"/>
    <col min="10512" max="10512" width="14.7109375" style="14" customWidth="1"/>
    <col min="10513" max="10513" width="16.42578125" style="14" customWidth="1"/>
    <col min="10514" max="10749" width="9.140625" style="14"/>
    <col min="10750" max="10750" width="20.7109375" style="14" customWidth="1"/>
    <col min="10751" max="10751" width="16.42578125" style="14" customWidth="1"/>
    <col min="10752" max="10752" width="13.28515625" style="14" customWidth="1"/>
    <col min="10753" max="10754" width="13.140625" style="14" customWidth="1"/>
    <col min="10755" max="10755" width="9.7109375" style="14" customWidth="1"/>
    <col min="10756" max="10756" width="10.42578125" style="14" customWidth="1"/>
    <col min="10757" max="10757" width="10" style="14" customWidth="1"/>
    <col min="10758" max="10758" width="9.7109375" style="14" customWidth="1"/>
    <col min="10759" max="10759" width="13.7109375" style="14" customWidth="1"/>
    <col min="10760" max="10761" width="14.5703125" style="14" customWidth="1"/>
    <col min="10762" max="10762" width="14.7109375" style="14" customWidth="1"/>
    <col min="10763" max="10763" width="14" style="14" customWidth="1"/>
    <col min="10764" max="10764" width="14.7109375" style="14" customWidth="1"/>
    <col min="10765" max="10765" width="16.140625" style="14" customWidth="1"/>
    <col min="10766" max="10766" width="14.5703125" style="14" customWidth="1"/>
    <col min="10767" max="10767" width="15.28515625" style="14" customWidth="1"/>
    <col min="10768" max="10768" width="14.7109375" style="14" customWidth="1"/>
    <col min="10769" max="10769" width="16.42578125" style="14" customWidth="1"/>
    <col min="10770" max="11005" width="9.140625" style="14"/>
    <col min="11006" max="11006" width="20.7109375" style="14" customWidth="1"/>
    <col min="11007" max="11007" width="16.42578125" style="14" customWidth="1"/>
    <col min="11008" max="11008" width="13.28515625" style="14" customWidth="1"/>
    <col min="11009" max="11010" width="13.140625" style="14" customWidth="1"/>
    <col min="11011" max="11011" width="9.7109375" style="14" customWidth="1"/>
    <col min="11012" max="11012" width="10.42578125" style="14" customWidth="1"/>
    <col min="11013" max="11013" width="10" style="14" customWidth="1"/>
    <col min="11014" max="11014" width="9.7109375" style="14" customWidth="1"/>
    <col min="11015" max="11015" width="13.7109375" style="14" customWidth="1"/>
    <col min="11016" max="11017" width="14.5703125" style="14" customWidth="1"/>
    <col min="11018" max="11018" width="14.7109375" style="14" customWidth="1"/>
    <col min="11019" max="11019" width="14" style="14" customWidth="1"/>
    <col min="11020" max="11020" width="14.7109375" style="14" customWidth="1"/>
    <col min="11021" max="11021" width="16.140625" style="14" customWidth="1"/>
    <col min="11022" max="11022" width="14.5703125" style="14" customWidth="1"/>
    <col min="11023" max="11023" width="15.28515625" style="14" customWidth="1"/>
    <col min="11024" max="11024" width="14.7109375" style="14" customWidth="1"/>
    <col min="11025" max="11025" width="16.42578125" style="14" customWidth="1"/>
    <col min="11026" max="11261" width="9.140625" style="14"/>
    <col min="11262" max="11262" width="20.7109375" style="14" customWidth="1"/>
    <col min="11263" max="11263" width="16.42578125" style="14" customWidth="1"/>
    <col min="11264" max="11264" width="13.28515625" style="14" customWidth="1"/>
    <col min="11265" max="11266" width="13.140625" style="14" customWidth="1"/>
    <col min="11267" max="11267" width="9.7109375" style="14" customWidth="1"/>
    <col min="11268" max="11268" width="10.42578125" style="14" customWidth="1"/>
    <col min="11269" max="11269" width="10" style="14" customWidth="1"/>
    <col min="11270" max="11270" width="9.7109375" style="14" customWidth="1"/>
    <col min="11271" max="11271" width="13.7109375" style="14" customWidth="1"/>
    <col min="11272" max="11273" width="14.5703125" style="14" customWidth="1"/>
    <col min="11274" max="11274" width="14.7109375" style="14" customWidth="1"/>
    <col min="11275" max="11275" width="14" style="14" customWidth="1"/>
    <col min="11276" max="11276" width="14.7109375" style="14" customWidth="1"/>
    <col min="11277" max="11277" width="16.140625" style="14" customWidth="1"/>
    <col min="11278" max="11278" width="14.5703125" style="14" customWidth="1"/>
    <col min="11279" max="11279" width="15.28515625" style="14" customWidth="1"/>
    <col min="11280" max="11280" width="14.7109375" style="14" customWidth="1"/>
    <col min="11281" max="11281" width="16.42578125" style="14" customWidth="1"/>
    <col min="11282" max="11517" width="9.140625" style="14"/>
    <col min="11518" max="11518" width="20.7109375" style="14" customWidth="1"/>
    <col min="11519" max="11519" width="16.42578125" style="14" customWidth="1"/>
    <col min="11520" max="11520" width="13.28515625" style="14" customWidth="1"/>
    <col min="11521" max="11522" width="13.140625" style="14" customWidth="1"/>
    <col min="11523" max="11523" width="9.7109375" style="14" customWidth="1"/>
    <col min="11524" max="11524" width="10.42578125" style="14" customWidth="1"/>
    <col min="11525" max="11525" width="10" style="14" customWidth="1"/>
    <col min="11526" max="11526" width="9.7109375" style="14" customWidth="1"/>
    <col min="11527" max="11527" width="13.7109375" style="14" customWidth="1"/>
    <col min="11528" max="11529" width="14.5703125" style="14" customWidth="1"/>
    <col min="11530" max="11530" width="14.7109375" style="14" customWidth="1"/>
    <col min="11531" max="11531" width="14" style="14" customWidth="1"/>
    <col min="11532" max="11532" width="14.7109375" style="14" customWidth="1"/>
    <col min="11533" max="11533" width="16.140625" style="14" customWidth="1"/>
    <col min="11534" max="11534" width="14.5703125" style="14" customWidth="1"/>
    <col min="11535" max="11535" width="15.28515625" style="14" customWidth="1"/>
    <col min="11536" max="11536" width="14.7109375" style="14" customWidth="1"/>
    <col min="11537" max="11537" width="16.42578125" style="14" customWidth="1"/>
    <col min="11538" max="11773" width="9.140625" style="14"/>
    <col min="11774" max="11774" width="20.7109375" style="14" customWidth="1"/>
    <col min="11775" max="11775" width="16.42578125" style="14" customWidth="1"/>
    <col min="11776" max="11776" width="13.28515625" style="14" customWidth="1"/>
    <col min="11777" max="11778" width="13.140625" style="14" customWidth="1"/>
    <col min="11779" max="11779" width="9.7109375" style="14" customWidth="1"/>
    <col min="11780" max="11780" width="10.42578125" style="14" customWidth="1"/>
    <col min="11781" max="11781" width="10" style="14" customWidth="1"/>
    <col min="11782" max="11782" width="9.7109375" style="14" customWidth="1"/>
    <col min="11783" max="11783" width="13.7109375" style="14" customWidth="1"/>
    <col min="11784" max="11785" width="14.5703125" style="14" customWidth="1"/>
    <col min="11786" max="11786" width="14.7109375" style="14" customWidth="1"/>
    <col min="11787" max="11787" width="14" style="14" customWidth="1"/>
    <col min="11788" max="11788" width="14.7109375" style="14" customWidth="1"/>
    <col min="11789" max="11789" width="16.140625" style="14" customWidth="1"/>
    <col min="11790" max="11790" width="14.5703125" style="14" customWidth="1"/>
    <col min="11791" max="11791" width="15.28515625" style="14" customWidth="1"/>
    <col min="11792" max="11792" width="14.7109375" style="14" customWidth="1"/>
    <col min="11793" max="11793" width="16.42578125" style="14" customWidth="1"/>
    <col min="11794" max="12029" width="9.140625" style="14"/>
    <col min="12030" max="12030" width="20.7109375" style="14" customWidth="1"/>
    <col min="12031" max="12031" width="16.42578125" style="14" customWidth="1"/>
    <col min="12032" max="12032" width="13.28515625" style="14" customWidth="1"/>
    <col min="12033" max="12034" width="13.140625" style="14" customWidth="1"/>
    <col min="12035" max="12035" width="9.7109375" style="14" customWidth="1"/>
    <col min="12036" max="12036" width="10.42578125" style="14" customWidth="1"/>
    <col min="12037" max="12037" width="10" style="14" customWidth="1"/>
    <col min="12038" max="12038" width="9.7109375" style="14" customWidth="1"/>
    <col min="12039" max="12039" width="13.7109375" style="14" customWidth="1"/>
    <col min="12040" max="12041" width="14.5703125" style="14" customWidth="1"/>
    <col min="12042" max="12042" width="14.7109375" style="14" customWidth="1"/>
    <col min="12043" max="12043" width="14" style="14" customWidth="1"/>
    <col min="12044" max="12044" width="14.7109375" style="14" customWidth="1"/>
    <col min="12045" max="12045" width="16.140625" style="14" customWidth="1"/>
    <col min="12046" max="12046" width="14.5703125" style="14" customWidth="1"/>
    <col min="12047" max="12047" width="15.28515625" style="14" customWidth="1"/>
    <col min="12048" max="12048" width="14.7109375" style="14" customWidth="1"/>
    <col min="12049" max="12049" width="16.42578125" style="14" customWidth="1"/>
    <col min="12050" max="12285" width="9.140625" style="14"/>
    <col min="12286" max="12286" width="20.7109375" style="14" customWidth="1"/>
    <col min="12287" max="12287" width="16.42578125" style="14" customWidth="1"/>
    <col min="12288" max="12288" width="13.28515625" style="14" customWidth="1"/>
    <col min="12289" max="12290" width="13.140625" style="14" customWidth="1"/>
    <col min="12291" max="12291" width="9.7109375" style="14" customWidth="1"/>
    <col min="12292" max="12292" width="10.42578125" style="14" customWidth="1"/>
    <col min="12293" max="12293" width="10" style="14" customWidth="1"/>
    <col min="12294" max="12294" width="9.7109375" style="14" customWidth="1"/>
    <col min="12295" max="12295" width="13.7109375" style="14" customWidth="1"/>
    <col min="12296" max="12297" width="14.5703125" style="14" customWidth="1"/>
    <col min="12298" max="12298" width="14.7109375" style="14" customWidth="1"/>
    <col min="12299" max="12299" width="14" style="14" customWidth="1"/>
    <col min="12300" max="12300" width="14.7109375" style="14" customWidth="1"/>
    <col min="12301" max="12301" width="16.140625" style="14" customWidth="1"/>
    <col min="12302" max="12302" width="14.5703125" style="14" customWidth="1"/>
    <col min="12303" max="12303" width="15.28515625" style="14" customWidth="1"/>
    <col min="12304" max="12304" width="14.7109375" style="14" customWidth="1"/>
    <col min="12305" max="12305" width="16.42578125" style="14" customWidth="1"/>
    <col min="12306" max="12541" width="9.140625" style="14"/>
    <col min="12542" max="12542" width="20.7109375" style="14" customWidth="1"/>
    <col min="12543" max="12543" width="16.42578125" style="14" customWidth="1"/>
    <col min="12544" max="12544" width="13.28515625" style="14" customWidth="1"/>
    <col min="12545" max="12546" width="13.140625" style="14" customWidth="1"/>
    <col min="12547" max="12547" width="9.7109375" style="14" customWidth="1"/>
    <col min="12548" max="12548" width="10.42578125" style="14" customWidth="1"/>
    <col min="12549" max="12549" width="10" style="14" customWidth="1"/>
    <col min="12550" max="12550" width="9.7109375" style="14" customWidth="1"/>
    <col min="12551" max="12551" width="13.7109375" style="14" customWidth="1"/>
    <col min="12552" max="12553" width="14.5703125" style="14" customWidth="1"/>
    <col min="12554" max="12554" width="14.7109375" style="14" customWidth="1"/>
    <col min="12555" max="12555" width="14" style="14" customWidth="1"/>
    <col min="12556" max="12556" width="14.7109375" style="14" customWidth="1"/>
    <col min="12557" max="12557" width="16.140625" style="14" customWidth="1"/>
    <col min="12558" max="12558" width="14.5703125" style="14" customWidth="1"/>
    <col min="12559" max="12559" width="15.28515625" style="14" customWidth="1"/>
    <col min="12560" max="12560" width="14.7109375" style="14" customWidth="1"/>
    <col min="12561" max="12561" width="16.42578125" style="14" customWidth="1"/>
    <col min="12562" max="12797" width="9.140625" style="14"/>
    <col min="12798" max="12798" width="20.7109375" style="14" customWidth="1"/>
    <col min="12799" max="12799" width="16.42578125" style="14" customWidth="1"/>
    <col min="12800" max="12800" width="13.28515625" style="14" customWidth="1"/>
    <col min="12801" max="12802" width="13.140625" style="14" customWidth="1"/>
    <col min="12803" max="12803" width="9.7109375" style="14" customWidth="1"/>
    <col min="12804" max="12804" width="10.42578125" style="14" customWidth="1"/>
    <col min="12805" max="12805" width="10" style="14" customWidth="1"/>
    <col min="12806" max="12806" width="9.7109375" style="14" customWidth="1"/>
    <col min="12807" max="12807" width="13.7109375" style="14" customWidth="1"/>
    <col min="12808" max="12809" width="14.5703125" style="14" customWidth="1"/>
    <col min="12810" max="12810" width="14.7109375" style="14" customWidth="1"/>
    <col min="12811" max="12811" width="14" style="14" customWidth="1"/>
    <col min="12812" max="12812" width="14.7109375" style="14" customWidth="1"/>
    <col min="12813" max="12813" width="16.140625" style="14" customWidth="1"/>
    <col min="12814" max="12814" width="14.5703125" style="14" customWidth="1"/>
    <col min="12815" max="12815" width="15.28515625" style="14" customWidth="1"/>
    <col min="12816" max="12816" width="14.7109375" style="14" customWidth="1"/>
    <col min="12817" max="12817" width="16.42578125" style="14" customWidth="1"/>
    <col min="12818" max="13053" width="9.140625" style="14"/>
    <col min="13054" max="13054" width="20.7109375" style="14" customWidth="1"/>
    <col min="13055" max="13055" width="16.42578125" style="14" customWidth="1"/>
    <col min="13056" max="13056" width="13.28515625" style="14" customWidth="1"/>
    <col min="13057" max="13058" width="13.140625" style="14" customWidth="1"/>
    <col min="13059" max="13059" width="9.7109375" style="14" customWidth="1"/>
    <col min="13060" max="13060" width="10.42578125" style="14" customWidth="1"/>
    <col min="13061" max="13061" width="10" style="14" customWidth="1"/>
    <col min="13062" max="13062" width="9.7109375" style="14" customWidth="1"/>
    <col min="13063" max="13063" width="13.7109375" style="14" customWidth="1"/>
    <col min="13064" max="13065" width="14.5703125" style="14" customWidth="1"/>
    <col min="13066" max="13066" width="14.7109375" style="14" customWidth="1"/>
    <col min="13067" max="13067" width="14" style="14" customWidth="1"/>
    <col min="13068" max="13068" width="14.7109375" style="14" customWidth="1"/>
    <col min="13069" max="13069" width="16.140625" style="14" customWidth="1"/>
    <col min="13070" max="13070" width="14.5703125" style="14" customWidth="1"/>
    <col min="13071" max="13071" width="15.28515625" style="14" customWidth="1"/>
    <col min="13072" max="13072" width="14.7109375" style="14" customWidth="1"/>
    <col min="13073" max="13073" width="16.42578125" style="14" customWidth="1"/>
    <col min="13074" max="13309" width="9.140625" style="14"/>
    <col min="13310" max="13310" width="20.7109375" style="14" customWidth="1"/>
    <col min="13311" max="13311" width="16.42578125" style="14" customWidth="1"/>
    <col min="13312" max="13312" width="13.28515625" style="14" customWidth="1"/>
    <col min="13313" max="13314" width="13.140625" style="14" customWidth="1"/>
    <col min="13315" max="13315" width="9.7109375" style="14" customWidth="1"/>
    <col min="13316" max="13316" width="10.42578125" style="14" customWidth="1"/>
    <col min="13317" max="13317" width="10" style="14" customWidth="1"/>
    <col min="13318" max="13318" width="9.7109375" style="14" customWidth="1"/>
    <col min="13319" max="13319" width="13.7109375" style="14" customWidth="1"/>
    <col min="13320" max="13321" width="14.5703125" style="14" customWidth="1"/>
    <col min="13322" max="13322" width="14.7109375" style="14" customWidth="1"/>
    <col min="13323" max="13323" width="14" style="14" customWidth="1"/>
    <col min="13324" max="13324" width="14.7109375" style="14" customWidth="1"/>
    <col min="13325" max="13325" width="16.140625" style="14" customWidth="1"/>
    <col min="13326" max="13326" width="14.5703125" style="14" customWidth="1"/>
    <col min="13327" max="13327" width="15.28515625" style="14" customWidth="1"/>
    <col min="13328" max="13328" width="14.7109375" style="14" customWidth="1"/>
    <col min="13329" max="13329" width="16.42578125" style="14" customWidth="1"/>
    <col min="13330" max="13565" width="9.140625" style="14"/>
    <col min="13566" max="13566" width="20.7109375" style="14" customWidth="1"/>
    <col min="13567" max="13567" width="16.42578125" style="14" customWidth="1"/>
    <col min="13568" max="13568" width="13.28515625" style="14" customWidth="1"/>
    <col min="13569" max="13570" width="13.140625" style="14" customWidth="1"/>
    <col min="13571" max="13571" width="9.7109375" style="14" customWidth="1"/>
    <col min="13572" max="13572" width="10.42578125" style="14" customWidth="1"/>
    <col min="13573" max="13573" width="10" style="14" customWidth="1"/>
    <col min="13574" max="13574" width="9.7109375" style="14" customWidth="1"/>
    <col min="13575" max="13575" width="13.7109375" style="14" customWidth="1"/>
    <col min="13576" max="13577" width="14.5703125" style="14" customWidth="1"/>
    <col min="13578" max="13578" width="14.7109375" style="14" customWidth="1"/>
    <col min="13579" max="13579" width="14" style="14" customWidth="1"/>
    <col min="13580" max="13580" width="14.7109375" style="14" customWidth="1"/>
    <col min="13581" max="13581" width="16.140625" style="14" customWidth="1"/>
    <col min="13582" max="13582" width="14.5703125" style="14" customWidth="1"/>
    <col min="13583" max="13583" width="15.28515625" style="14" customWidth="1"/>
    <col min="13584" max="13584" width="14.7109375" style="14" customWidth="1"/>
    <col min="13585" max="13585" width="16.42578125" style="14" customWidth="1"/>
    <col min="13586" max="13821" width="9.140625" style="14"/>
    <col min="13822" max="13822" width="20.7109375" style="14" customWidth="1"/>
    <col min="13823" max="13823" width="16.42578125" style="14" customWidth="1"/>
    <col min="13824" max="13824" width="13.28515625" style="14" customWidth="1"/>
    <col min="13825" max="13826" width="13.140625" style="14" customWidth="1"/>
    <col min="13827" max="13827" width="9.7109375" style="14" customWidth="1"/>
    <col min="13828" max="13828" width="10.42578125" style="14" customWidth="1"/>
    <col min="13829" max="13829" width="10" style="14" customWidth="1"/>
    <col min="13830" max="13830" width="9.7109375" style="14" customWidth="1"/>
    <col min="13831" max="13831" width="13.7109375" style="14" customWidth="1"/>
    <col min="13832" max="13833" width="14.5703125" style="14" customWidth="1"/>
    <col min="13834" max="13834" width="14.7109375" style="14" customWidth="1"/>
    <col min="13835" max="13835" width="14" style="14" customWidth="1"/>
    <col min="13836" max="13836" width="14.7109375" style="14" customWidth="1"/>
    <col min="13837" max="13837" width="16.140625" style="14" customWidth="1"/>
    <col min="13838" max="13838" width="14.5703125" style="14" customWidth="1"/>
    <col min="13839" max="13839" width="15.28515625" style="14" customWidth="1"/>
    <col min="13840" max="13840" width="14.7109375" style="14" customWidth="1"/>
    <col min="13841" max="13841" width="16.42578125" style="14" customWidth="1"/>
    <col min="13842" max="14077" width="9.140625" style="14"/>
    <col min="14078" max="14078" width="20.7109375" style="14" customWidth="1"/>
    <col min="14079" max="14079" width="16.42578125" style="14" customWidth="1"/>
    <col min="14080" max="14080" width="13.28515625" style="14" customWidth="1"/>
    <col min="14081" max="14082" width="13.140625" style="14" customWidth="1"/>
    <col min="14083" max="14083" width="9.7109375" style="14" customWidth="1"/>
    <col min="14084" max="14084" width="10.42578125" style="14" customWidth="1"/>
    <col min="14085" max="14085" width="10" style="14" customWidth="1"/>
    <col min="14086" max="14086" width="9.7109375" style="14" customWidth="1"/>
    <col min="14087" max="14087" width="13.7109375" style="14" customWidth="1"/>
    <col min="14088" max="14089" width="14.5703125" style="14" customWidth="1"/>
    <col min="14090" max="14090" width="14.7109375" style="14" customWidth="1"/>
    <col min="14091" max="14091" width="14" style="14" customWidth="1"/>
    <col min="14092" max="14092" width="14.7109375" style="14" customWidth="1"/>
    <col min="14093" max="14093" width="16.140625" style="14" customWidth="1"/>
    <col min="14094" max="14094" width="14.5703125" style="14" customWidth="1"/>
    <col min="14095" max="14095" width="15.28515625" style="14" customWidth="1"/>
    <col min="14096" max="14096" width="14.7109375" style="14" customWidth="1"/>
    <col min="14097" max="14097" width="16.42578125" style="14" customWidth="1"/>
    <col min="14098" max="14333" width="9.140625" style="14"/>
    <col min="14334" max="14334" width="20.7109375" style="14" customWidth="1"/>
    <col min="14335" max="14335" width="16.42578125" style="14" customWidth="1"/>
    <col min="14336" max="14336" width="13.28515625" style="14" customWidth="1"/>
    <col min="14337" max="14338" width="13.140625" style="14" customWidth="1"/>
    <col min="14339" max="14339" width="9.7109375" style="14" customWidth="1"/>
    <col min="14340" max="14340" width="10.42578125" style="14" customWidth="1"/>
    <col min="14341" max="14341" width="10" style="14" customWidth="1"/>
    <col min="14342" max="14342" width="9.7109375" style="14" customWidth="1"/>
    <col min="14343" max="14343" width="13.7109375" style="14" customWidth="1"/>
    <col min="14344" max="14345" width="14.5703125" style="14" customWidth="1"/>
    <col min="14346" max="14346" width="14.7109375" style="14" customWidth="1"/>
    <col min="14347" max="14347" width="14" style="14" customWidth="1"/>
    <col min="14348" max="14348" width="14.7109375" style="14" customWidth="1"/>
    <col min="14349" max="14349" width="16.140625" style="14" customWidth="1"/>
    <col min="14350" max="14350" width="14.5703125" style="14" customWidth="1"/>
    <col min="14351" max="14351" width="15.28515625" style="14" customWidth="1"/>
    <col min="14352" max="14352" width="14.7109375" style="14" customWidth="1"/>
    <col min="14353" max="14353" width="16.42578125" style="14" customWidth="1"/>
    <col min="14354" max="14589" width="9.140625" style="14"/>
    <col min="14590" max="14590" width="20.7109375" style="14" customWidth="1"/>
    <col min="14591" max="14591" width="16.42578125" style="14" customWidth="1"/>
    <col min="14592" max="14592" width="13.28515625" style="14" customWidth="1"/>
    <col min="14593" max="14594" width="13.140625" style="14" customWidth="1"/>
    <col min="14595" max="14595" width="9.7109375" style="14" customWidth="1"/>
    <col min="14596" max="14596" width="10.42578125" style="14" customWidth="1"/>
    <col min="14597" max="14597" width="10" style="14" customWidth="1"/>
    <col min="14598" max="14598" width="9.7109375" style="14" customWidth="1"/>
    <col min="14599" max="14599" width="13.7109375" style="14" customWidth="1"/>
    <col min="14600" max="14601" width="14.5703125" style="14" customWidth="1"/>
    <col min="14602" max="14602" width="14.7109375" style="14" customWidth="1"/>
    <col min="14603" max="14603" width="14" style="14" customWidth="1"/>
    <col min="14604" max="14604" width="14.7109375" style="14" customWidth="1"/>
    <col min="14605" max="14605" width="16.140625" style="14" customWidth="1"/>
    <col min="14606" max="14606" width="14.5703125" style="14" customWidth="1"/>
    <col min="14607" max="14607" width="15.28515625" style="14" customWidth="1"/>
    <col min="14608" max="14608" width="14.7109375" style="14" customWidth="1"/>
    <col min="14609" max="14609" width="16.42578125" style="14" customWidth="1"/>
    <col min="14610" max="14845" width="9.140625" style="14"/>
    <col min="14846" max="14846" width="20.7109375" style="14" customWidth="1"/>
    <col min="14847" max="14847" width="16.42578125" style="14" customWidth="1"/>
    <col min="14848" max="14848" width="13.28515625" style="14" customWidth="1"/>
    <col min="14849" max="14850" width="13.140625" style="14" customWidth="1"/>
    <col min="14851" max="14851" width="9.7109375" style="14" customWidth="1"/>
    <col min="14852" max="14852" width="10.42578125" style="14" customWidth="1"/>
    <col min="14853" max="14853" width="10" style="14" customWidth="1"/>
    <col min="14854" max="14854" width="9.7109375" style="14" customWidth="1"/>
    <col min="14855" max="14855" width="13.7109375" style="14" customWidth="1"/>
    <col min="14856" max="14857" width="14.5703125" style="14" customWidth="1"/>
    <col min="14858" max="14858" width="14.7109375" style="14" customWidth="1"/>
    <col min="14859" max="14859" width="14" style="14" customWidth="1"/>
    <col min="14860" max="14860" width="14.7109375" style="14" customWidth="1"/>
    <col min="14861" max="14861" width="16.140625" style="14" customWidth="1"/>
    <col min="14862" max="14862" width="14.5703125" style="14" customWidth="1"/>
    <col min="14863" max="14863" width="15.28515625" style="14" customWidth="1"/>
    <col min="14864" max="14864" width="14.7109375" style="14" customWidth="1"/>
    <col min="14865" max="14865" width="16.42578125" style="14" customWidth="1"/>
    <col min="14866" max="15101" width="9.140625" style="14"/>
    <col min="15102" max="15102" width="20.7109375" style="14" customWidth="1"/>
    <col min="15103" max="15103" width="16.42578125" style="14" customWidth="1"/>
    <col min="15104" max="15104" width="13.28515625" style="14" customWidth="1"/>
    <col min="15105" max="15106" width="13.140625" style="14" customWidth="1"/>
    <col min="15107" max="15107" width="9.7109375" style="14" customWidth="1"/>
    <col min="15108" max="15108" width="10.42578125" style="14" customWidth="1"/>
    <col min="15109" max="15109" width="10" style="14" customWidth="1"/>
    <col min="15110" max="15110" width="9.7109375" style="14" customWidth="1"/>
    <col min="15111" max="15111" width="13.7109375" style="14" customWidth="1"/>
    <col min="15112" max="15113" width="14.5703125" style="14" customWidth="1"/>
    <col min="15114" max="15114" width="14.7109375" style="14" customWidth="1"/>
    <col min="15115" max="15115" width="14" style="14" customWidth="1"/>
    <col min="15116" max="15116" width="14.7109375" style="14" customWidth="1"/>
    <col min="15117" max="15117" width="16.140625" style="14" customWidth="1"/>
    <col min="15118" max="15118" width="14.5703125" style="14" customWidth="1"/>
    <col min="15119" max="15119" width="15.28515625" style="14" customWidth="1"/>
    <col min="15120" max="15120" width="14.7109375" style="14" customWidth="1"/>
    <col min="15121" max="15121" width="16.42578125" style="14" customWidth="1"/>
    <col min="15122" max="15357" width="9.140625" style="14"/>
    <col min="15358" max="15358" width="20.7109375" style="14" customWidth="1"/>
    <col min="15359" max="15359" width="16.42578125" style="14" customWidth="1"/>
    <col min="15360" max="15360" width="13.28515625" style="14" customWidth="1"/>
    <col min="15361" max="15362" width="13.140625" style="14" customWidth="1"/>
    <col min="15363" max="15363" width="9.7109375" style="14" customWidth="1"/>
    <col min="15364" max="15364" width="10.42578125" style="14" customWidth="1"/>
    <col min="15365" max="15365" width="10" style="14" customWidth="1"/>
    <col min="15366" max="15366" width="9.7109375" style="14" customWidth="1"/>
    <col min="15367" max="15367" width="13.7109375" style="14" customWidth="1"/>
    <col min="15368" max="15369" width="14.5703125" style="14" customWidth="1"/>
    <col min="15370" max="15370" width="14.7109375" style="14" customWidth="1"/>
    <col min="15371" max="15371" width="14" style="14" customWidth="1"/>
    <col min="15372" max="15372" width="14.7109375" style="14" customWidth="1"/>
    <col min="15373" max="15373" width="16.140625" style="14" customWidth="1"/>
    <col min="15374" max="15374" width="14.5703125" style="14" customWidth="1"/>
    <col min="15375" max="15375" width="15.28515625" style="14" customWidth="1"/>
    <col min="15376" max="15376" width="14.7109375" style="14" customWidth="1"/>
    <col min="15377" max="15377" width="16.42578125" style="14" customWidth="1"/>
    <col min="15378" max="15613" width="9.140625" style="14"/>
    <col min="15614" max="15614" width="20.7109375" style="14" customWidth="1"/>
    <col min="15615" max="15615" width="16.42578125" style="14" customWidth="1"/>
    <col min="15616" max="15616" width="13.28515625" style="14" customWidth="1"/>
    <col min="15617" max="15618" width="13.140625" style="14" customWidth="1"/>
    <col min="15619" max="15619" width="9.7109375" style="14" customWidth="1"/>
    <col min="15620" max="15620" width="10.42578125" style="14" customWidth="1"/>
    <col min="15621" max="15621" width="10" style="14" customWidth="1"/>
    <col min="15622" max="15622" width="9.7109375" style="14" customWidth="1"/>
    <col min="15623" max="15623" width="13.7109375" style="14" customWidth="1"/>
    <col min="15624" max="15625" width="14.5703125" style="14" customWidth="1"/>
    <col min="15626" max="15626" width="14.7109375" style="14" customWidth="1"/>
    <col min="15627" max="15627" width="14" style="14" customWidth="1"/>
    <col min="15628" max="15628" width="14.7109375" style="14" customWidth="1"/>
    <col min="15629" max="15629" width="16.140625" style="14" customWidth="1"/>
    <col min="15630" max="15630" width="14.5703125" style="14" customWidth="1"/>
    <col min="15631" max="15631" width="15.28515625" style="14" customWidth="1"/>
    <col min="15632" max="15632" width="14.7109375" style="14" customWidth="1"/>
    <col min="15633" max="15633" width="16.42578125" style="14" customWidth="1"/>
    <col min="15634" max="15869" width="9.140625" style="14"/>
    <col min="15870" max="15870" width="20.7109375" style="14" customWidth="1"/>
    <col min="15871" max="15871" width="16.42578125" style="14" customWidth="1"/>
    <col min="15872" max="15872" width="13.28515625" style="14" customWidth="1"/>
    <col min="15873" max="15874" width="13.140625" style="14" customWidth="1"/>
    <col min="15875" max="15875" width="9.7109375" style="14" customWidth="1"/>
    <col min="15876" max="15876" width="10.42578125" style="14" customWidth="1"/>
    <col min="15877" max="15877" width="10" style="14" customWidth="1"/>
    <col min="15878" max="15878" width="9.7109375" style="14" customWidth="1"/>
    <col min="15879" max="15879" width="13.7109375" style="14" customWidth="1"/>
    <col min="15880" max="15881" width="14.5703125" style="14" customWidth="1"/>
    <col min="15882" max="15882" width="14.7109375" style="14" customWidth="1"/>
    <col min="15883" max="15883" width="14" style="14" customWidth="1"/>
    <col min="15884" max="15884" width="14.7109375" style="14" customWidth="1"/>
    <col min="15885" max="15885" width="16.140625" style="14" customWidth="1"/>
    <col min="15886" max="15886" width="14.5703125" style="14" customWidth="1"/>
    <col min="15887" max="15887" width="15.28515625" style="14" customWidth="1"/>
    <col min="15888" max="15888" width="14.7109375" style="14" customWidth="1"/>
    <col min="15889" max="15889" width="16.42578125" style="14" customWidth="1"/>
    <col min="15890" max="16125" width="9.140625" style="14"/>
    <col min="16126" max="16126" width="20.7109375" style="14" customWidth="1"/>
    <col min="16127" max="16127" width="16.42578125" style="14" customWidth="1"/>
    <col min="16128" max="16128" width="13.28515625" style="14" customWidth="1"/>
    <col min="16129" max="16130" width="13.140625" style="14" customWidth="1"/>
    <col min="16131" max="16131" width="9.7109375" style="14" customWidth="1"/>
    <col min="16132" max="16132" width="10.42578125" style="14" customWidth="1"/>
    <col min="16133" max="16133" width="10" style="14" customWidth="1"/>
    <col min="16134" max="16134" width="9.7109375" style="14" customWidth="1"/>
    <col min="16135" max="16135" width="13.7109375" style="14" customWidth="1"/>
    <col min="16136" max="16137" width="14.5703125" style="14" customWidth="1"/>
    <col min="16138" max="16138" width="14.7109375" style="14" customWidth="1"/>
    <col min="16139" max="16139" width="14" style="14" customWidth="1"/>
    <col min="16140" max="16140" width="14.7109375" style="14" customWidth="1"/>
    <col min="16141" max="16141" width="16.140625" style="14" customWidth="1"/>
    <col min="16142" max="16142" width="14.5703125" style="14" customWidth="1"/>
    <col min="16143" max="16143" width="15.28515625" style="14" customWidth="1"/>
    <col min="16144" max="16144" width="14.7109375" style="14" customWidth="1"/>
    <col min="16145" max="16145" width="16.42578125" style="14" customWidth="1"/>
    <col min="16146" max="16381" width="9.140625" style="14"/>
    <col min="16382" max="16384" width="9.140625" style="14" customWidth="1"/>
  </cols>
  <sheetData>
    <row r="1" spans="1:18" x14ac:dyDescent="0.2">
      <c r="A1" s="1046" t="s">
        <v>408</v>
      </c>
      <c r="B1" s="1046"/>
      <c r="C1" s="1046"/>
      <c r="D1" s="1046"/>
      <c r="E1" s="1046"/>
      <c r="F1" s="1046"/>
      <c r="G1" s="1046"/>
      <c r="H1" s="1046"/>
      <c r="I1" s="1046"/>
      <c r="J1" s="1046"/>
      <c r="K1" s="1046"/>
      <c r="L1" s="1046"/>
      <c r="M1" s="1046"/>
      <c r="N1" s="1046"/>
      <c r="O1" s="1046"/>
      <c r="P1" s="1046"/>
      <c r="Q1" s="1046"/>
      <c r="R1" s="1046"/>
    </row>
    <row r="2" spans="1:18" s="18" customFormat="1" ht="51.6" customHeight="1" x14ac:dyDescent="0.2">
      <c r="A2" s="1032" t="s">
        <v>132</v>
      </c>
      <c r="B2" s="1045" t="str">
        <f>'Услуги связи'!B3</f>
        <v xml:space="preserve">Нормативная численность обучающихся </v>
      </c>
      <c r="C2" s="1034" t="s">
        <v>24</v>
      </c>
      <c r="D2" s="1035"/>
      <c r="E2" s="1036"/>
      <c r="F2" s="1037" t="s">
        <v>2</v>
      </c>
      <c r="G2" s="1038"/>
      <c r="H2" s="1038"/>
      <c r="I2" s="1039"/>
      <c r="J2" s="1028" t="s">
        <v>338</v>
      </c>
      <c r="K2" s="1028" t="s">
        <v>370</v>
      </c>
      <c r="L2" s="1028" t="s">
        <v>403</v>
      </c>
      <c r="M2" s="1031" t="s">
        <v>150</v>
      </c>
      <c r="N2" s="1031"/>
      <c r="O2" s="1042" t="s">
        <v>322</v>
      </c>
      <c r="P2" s="1028" t="s">
        <v>338</v>
      </c>
      <c r="Q2" s="1028" t="s">
        <v>370</v>
      </c>
      <c r="R2" s="1028" t="s">
        <v>403</v>
      </c>
    </row>
    <row r="3" spans="1:18" s="18" customFormat="1" x14ac:dyDescent="0.2">
      <c r="A3" s="1029"/>
      <c r="B3" s="1045"/>
      <c r="C3" s="1031">
        <v>2021</v>
      </c>
      <c r="D3" s="1031">
        <v>2022</v>
      </c>
      <c r="E3" s="1031">
        <v>2023</v>
      </c>
      <c r="F3" s="98">
        <v>2020</v>
      </c>
      <c r="G3" s="98">
        <v>2021</v>
      </c>
      <c r="H3" s="98">
        <v>2022</v>
      </c>
      <c r="I3" s="98">
        <v>2023</v>
      </c>
      <c r="J3" s="1029"/>
      <c r="K3" s="1029"/>
      <c r="L3" s="1029"/>
      <c r="M3" s="1031"/>
      <c r="N3" s="1031"/>
      <c r="O3" s="1043"/>
      <c r="P3" s="1040"/>
      <c r="Q3" s="1040"/>
      <c r="R3" s="1040"/>
    </row>
    <row r="4" spans="1:18" s="18" customFormat="1" ht="12.75" customHeight="1" x14ac:dyDescent="0.2">
      <c r="A4" s="1029"/>
      <c r="B4" s="1045"/>
      <c r="C4" s="1031"/>
      <c r="D4" s="1031"/>
      <c r="E4" s="1031"/>
      <c r="F4" s="1037" t="s">
        <v>22</v>
      </c>
      <c r="G4" s="1038"/>
      <c r="H4" s="1038"/>
      <c r="I4" s="1039"/>
      <c r="J4" s="1029"/>
      <c r="K4" s="1029"/>
      <c r="L4" s="1029"/>
      <c r="M4" s="1032" t="s">
        <v>24</v>
      </c>
      <c r="N4" s="1032" t="s">
        <v>33</v>
      </c>
      <c r="O4" s="1043"/>
      <c r="P4" s="1040"/>
      <c r="Q4" s="1040"/>
      <c r="R4" s="1040"/>
    </row>
    <row r="5" spans="1:18" s="18" customFormat="1" x14ac:dyDescent="0.2">
      <c r="A5" s="1030"/>
      <c r="B5" s="1045"/>
      <c r="C5" s="1031"/>
      <c r="D5" s="1031"/>
      <c r="E5" s="1031"/>
      <c r="F5" s="98">
        <v>1</v>
      </c>
      <c r="G5" s="98">
        <v>1.05</v>
      </c>
      <c r="H5" s="521">
        <v>1.05</v>
      </c>
      <c r="I5" s="521">
        <v>1.05</v>
      </c>
      <c r="J5" s="1030"/>
      <c r="K5" s="1030"/>
      <c r="L5" s="1030"/>
      <c r="M5" s="1030"/>
      <c r="N5" s="1030"/>
      <c r="O5" s="1044"/>
      <c r="P5" s="1041"/>
      <c r="Q5" s="1041"/>
      <c r="R5" s="1041"/>
    </row>
    <row r="6" spans="1:18" s="18" customFormat="1" x14ac:dyDescent="0.2">
      <c r="A6" s="38" t="str">
        <f>Жбо!A6</f>
        <v>МАДОУ ЦРР-детский сад № 2</v>
      </c>
      <c r="B6" s="253">
        <f>Жбо!B6</f>
        <v>506</v>
      </c>
      <c r="C6" s="202">
        <f>'Факт. объемы'!AH7</f>
        <v>1562</v>
      </c>
      <c r="D6" s="202">
        <f>C6</f>
        <v>1562</v>
      </c>
      <c r="E6" s="202">
        <f>D6</f>
        <v>1562</v>
      </c>
      <c r="F6" s="561">
        <v>25.31</v>
      </c>
      <c r="G6" s="561">
        <v>25.49</v>
      </c>
      <c r="H6" s="561">
        <v>26.32</v>
      </c>
      <c r="I6" s="561">
        <v>27.65</v>
      </c>
      <c r="J6" s="197">
        <f t="shared" ref="J6:L8" si="0">ROUND(C6*G6,0)</f>
        <v>39815</v>
      </c>
      <c r="K6" s="197">
        <f t="shared" si="0"/>
        <v>41112</v>
      </c>
      <c r="L6" s="197">
        <f t="shared" si="0"/>
        <v>43189</v>
      </c>
      <c r="M6" s="203"/>
      <c r="N6" s="203"/>
      <c r="O6" s="383">
        <f>ROUND(C6/B6,3)</f>
        <v>3.0870000000000002</v>
      </c>
      <c r="P6" s="433">
        <f>ROUND(B6*G6*O6,2)</f>
        <v>39815.94</v>
      </c>
      <c r="Q6" s="433">
        <f>ROUND(B6*H6*O6,2)</f>
        <v>41112.42</v>
      </c>
      <c r="R6" s="160">
        <f>ROUND(B6*I6*O6,2)</f>
        <v>43189.91</v>
      </c>
    </row>
    <row r="7" spans="1:18" s="18" customFormat="1" x14ac:dyDescent="0.2">
      <c r="A7" s="38" t="str">
        <f>Жбо!A7</f>
        <v>МАДОУ ЦРР-детский сад № 13</v>
      </c>
      <c r="B7" s="253">
        <f>Жбо!B7</f>
        <v>633</v>
      </c>
      <c r="C7" s="202">
        <f>'Факт. объемы'!AH9</f>
        <v>489</v>
      </c>
      <c r="D7" s="202">
        <f t="shared" ref="D7:E9" si="1">C7</f>
        <v>489</v>
      </c>
      <c r="E7" s="202">
        <f t="shared" si="1"/>
        <v>489</v>
      </c>
      <c r="F7" s="561">
        <v>25.31</v>
      </c>
      <c r="G7" s="561">
        <v>25.49</v>
      </c>
      <c r="H7" s="561">
        <v>26.32</v>
      </c>
      <c r="I7" s="561">
        <v>27.65</v>
      </c>
      <c r="J7" s="197">
        <f t="shared" si="0"/>
        <v>12465</v>
      </c>
      <c r="K7" s="197">
        <f t="shared" si="0"/>
        <v>12870</v>
      </c>
      <c r="L7" s="197">
        <f t="shared" si="0"/>
        <v>13521</v>
      </c>
      <c r="M7" s="203"/>
      <c r="N7" s="203"/>
      <c r="O7" s="383">
        <f>ROUND(C7/B7,3)</f>
        <v>0.77300000000000002</v>
      </c>
      <c r="P7" s="433">
        <f t="shared" ref="P7:P9" si="2">ROUND(B7*G7*O7,2)</f>
        <v>12472.49</v>
      </c>
      <c r="Q7" s="433">
        <f t="shared" ref="Q7:Q9" si="3">ROUND(B7*H7*O7,2)</f>
        <v>12878.61</v>
      </c>
      <c r="R7" s="160">
        <f t="shared" ref="R7:R9" si="4">ROUND(B7*I7*O7,2)</f>
        <v>13529.39</v>
      </c>
    </row>
    <row r="8" spans="1:18" s="18" customFormat="1" ht="25.5" x14ac:dyDescent="0.2">
      <c r="A8" s="46" t="str">
        <f>Жбо!A8</f>
        <v>МАОУ СОШ № 2 им.М.И.Грибушина структурное подразделение</v>
      </c>
      <c r="B8" s="253">
        <f>Жбо!B8</f>
        <v>288</v>
      </c>
      <c r="C8" s="202">
        <f>'Факт. объемы'!AH11</f>
        <v>1393</v>
      </c>
      <c r="D8" s="202">
        <f t="shared" si="1"/>
        <v>1393</v>
      </c>
      <c r="E8" s="202">
        <f t="shared" si="1"/>
        <v>1393</v>
      </c>
      <c r="F8" s="561">
        <v>25.31</v>
      </c>
      <c r="G8" s="561">
        <v>25.49</v>
      </c>
      <c r="H8" s="561">
        <v>26.32</v>
      </c>
      <c r="I8" s="561">
        <v>27.65</v>
      </c>
      <c r="J8" s="197">
        <f t="shared" si="0"/>
        <v>35508</v>
      </c>
      <c r="K8" s="197">
        <f t="shared" si="0"/>
        <v>36664</v>
      </c>
      <c r="L8" s="197">
        <f t="shared" si="0"/>
        <v>38516</v>
      </c>
      <c r="M8" s="203"/>
      <c r="N8" s="203"/>
      <c r="O8" s="383">
        <f>ROUND(C8/B8,3)</f>
        <v>4.8369999999999997</v>
      </c>
      <c r="P8" s="433">
        <f t="shared" si="2"/>
        <v>35509</v>
      </c>
      <c r="Q8" s="433">
        <f t="shared" si="3"/>
        <v>36665.230000000003</v>
      </c>
      <c r="R8" s="160">
        <f t="shared" si="4"/>
        <v>38518</v>
      </c>
    </row>
    <row r="9" spans="1:18" s="18" customFormat="1" ht="26.25" thickBot="1" x14ac:dyDescent="0.25">
      <c r="A9" s="453" t="s">
        <v>341</v>
      </c>
      <c r="B9" s="253">
        <f>Жбо!B9</f>
        <v>189</v>
      </c>
      <c r="C9" s="202">
        <f>'Факт. объемы'!AH15</f>
        <v>714.33</v>
      </c>
      <c r="D9" s="202">
        <f t="shared" si="1"/>
        <v>714.33</v>
      </c>
      <c r="E9" s="202">
        <f t="shared" si="1"/>
        <v>714.33</v>
      </c>
      <c r="F9" s="561">
        <v>25.31</v>
      </c>
      <c r="G9" s="561">
        <v>25.49</v>
      </c>
      <c r="H9" s="561">
        <v>26.32</v>
      </c>
      <c r="I9" s="561">
        <v>27.65</v>
      </c>
      <c r="J9" s="206">
        <f>ROUND(C9*G9,0)</f>
        <v>18208</v>
      </c>
      <c r="K9" s="206">
        <f>ROUND(D9*H9,0)</f>
        <v>18801</v>
      </c>
      <c r="L9" s="206">
        <f>ROUND(E9*I9,0)</f>
        <v>19751</v>
      </c>
      <c r="M9" s="203"/>
      <c r="N9" s="203"/>
      <c r="O9" s="383">
        <f>ROUND(C9/B9,3)</f>
        <v>3.78</v>
      </c>
      <c r="P9" s="433">
        <f t="shared" si="2"/>
        <v>18210.57</v>
      </c>
      <c r="Q9" s="433">
        <f t="shared" si="3"/>
        <v>18803.53</v>
      </c>
      <c r="R9" s="565">
        <f t="shared" si="4"/>
        <v>19753.71</v>
      </c>
    </row>
    <row r="10" spans="1:18" s="18" customFormat="1" ht="15.75" customHeight="1" thickBot="1" x14ac:dyDescent="0.25">
      <c r="A10" s="109" t="s">
        <v>1</v>
      </c>
      <c r="B10" s="296">
        <f>SUM(B6:B9)</f>
        <v>1616</v>
      </c>
      <c r="C10" s="108">
        <f>SUM(C6:C9)</f>
        <v>4158.33</v>
      </c>
      <c r="D10" s="108">
        <f>SUM(D6:D9)</f>
        <v>4158.33</v>
      </c>
      <c r="E10" s="108">
        <f>SUM(E6:E9)</f>
        <v>4158.33</v>
      </c>
      <c r="F10" s="108">
        <f>ROUND(AVERAGE(F6:F9),2)</f>
        <v>25.31</v>
      </c>
      <c r="G10" s="108">
        <f>ROUND(AVERAGE(G6:G9),2)</f>
        <v>25.49</v>
      </c>
      <c r="H10" s="108">
        <f>ROUND(AVERAGE(H6:H9),2)</f>
        <v>26.32</v>
      </c>
      <c r="I10" s="108">
        <f>ROUND(AVERAGE(I6:I9),2)</f>
        <v>27.65</v>
      </c>
      <c r="J10" s="108">
        <f>SUM(J6:J9)</f>
        <v>105996</v>
      </c>
      <c r="K10" s="108">
        <f>SUM(K6:K9)</f>
        <v>109447</v>
      </c>
      <c r="L10" s="108">
        <f>SUM(L6:L9)</f>
        <v>114977</v>
      </c>
      <c r="M10" s="114">
        <f>SUM(M6:M9)</f>
        <v>0</v>
      </c>
      <c r="N10" s="114">
        <f>SUM(N6:N9)</f>
        <v>0</v>
      </c>
      <c r="O10" s="389">
        <f>ROUND(MEDIAN(O6:O9),3)</f>
        <v>3.4340000000000002</v>
      </c>
      <c r="P10" s="436">
        <f>SUM(P6:P9)</f>
        <v>106008</v>
      </c>
      <c r="Q10" s="436">
        <f>SUM(Q6:Q9)</f>
        <v>109459.79000000001</v>
      </c>
      <c r="R10" s="254">
        <f>SUM(R6:R9)</f>
        <v>114991.01000000001</v>
      </c>
    </row>
    <row r="11" spans="1:18" ht="16.899999999999999" customHeight="1" x14ac:dyDescent="0.2">
      <c r="J11" s="142"/>
      <c r="K11" s="142"/>
      <c r="L11" s="142"/>
      <c r="N11" s="442" t="s">
        <v>234</v>
      </c>
      <c r="O11" s="446"/>
      <c r="P11" s="444">
        <f>ROUND(G10*O10,2)</f>
        <v>87.53</v>
      </c>
      <c r="Q11" s="444">
        <f>ROUND(H10*O10,2)</f>
        <v>90.38</v>
      </c>
      <c r="R11" s="444">
        <f>ROUND(I10*O10,2)</f>
        <v>94.95</v>
      </c>
    </row>
    <row r="12" spans="1:18" x14ac:dyDescent="0.2">
      <c r="H12" s="87"/>
      <c r="I12" s="87"/>
      <c r="J12" s="29"/>
      <c r="P12" s="44"/>
      <c r="Q12" s="44"/>
    </row>
    <row r="14" spans="1:18" x14ac:dyDescent="0.2">
      <c r="A14" s="14" t="s">
        <v>551</v>
      </c>
    </row>
    <row r="15" spans="1:18" ht="3.75" customHeight="1" x14ac:dyDescent="0.2"/>
    <row r="16" spans="1:18" x14ac:dyDescent="0.2">
      <c r="A16" s="1051" t="s">
        <v>552</v>
      </c>
      <c r="B16" s="701" t="s">
        <v>514</v>
      </c>
      <c r="C16" s="702" t="s">
        <v>515</v>
      </c>
      <c r="D16" s="14" t="s">
        <v>571</v>
      </c>
      <c r="E16" s="701" t="s">
        <v>572</v>
      </c>
      <c r="F16" s="702"/>
      <c r="G16" s="702"/>
    </row>
    <row r="17" spans="1:15" x14ac:dyDescent="0.2">
      <c r="A17" s="1051"/>
      <c r="B17" s="1047" t="s">
        <v>516</v>
      </c>
      <c r="C17" s="703" t="s">
        <v>517</v>
      </c>
      <c r="D17" s="703" t="s">
        <v>575</v>
      </c>
      <c r="E17" s="1049" t="s">
        <v>576</v>
      </c>
      <c r="F17" s="1049"/>
      <c r="G17" s="1049"/>
      <c r="H17" s="78"/>
      <c r="I17" s="78"/>
      <c r="J17" s="78"/>
    </row>
    <row r="18" spans="1:15" x14ac:dyDescent="0.2">
      <c r="A18" s="1051"/>
      <c r="B18" s="1048"/>
      <c r="C18" s="702" t="s">
        <v>524</v>
      </c>
      <c r="D18" s="702" t="s">
        <v>573</v>
      </c>
      <c r="E18" s="1050"/>
      <c r="F18" s="1050"/>
      <c r="G18" s="1050"/>
      <c r="N18" s="78"/>
      <c r="O18" s="78"/>
    </row>
    <row r="19" spans="1:15" x14ac:dyDescent="0.2">
      <c r="A19" s="1051"/>
      <c r="B19" s="1047" t="s">
        <v>521</v>
      </c>
      <c r="C19" s="703" t="s">
        <v>522</v>
      </c>
      <c r="D19" s="703" t="s">
        <v>573</v>
      </c>
      <c r="E19" s="1049" t="s">
        <v>577</v>
      </c>
      <c r="F19" s="1049"/>
      <c r="G19" s="1049"/>
    </row>
    <row r="20" spans="1:15" x14ac:dyDescent="0.2">
      <c r="A20" s="1051"/>
      <c r="B20" s="1048"/>
      <c r="C20" s="702" t="s">
        <v>523</v>
      </c>
      <c r="D20" s="702" t="s">
        <v>574</v>
      </c>
      <c r="E20" s="1050"/>
      <c r="F20" s="1050"/>
      <c r="G20" s="1050"/>
    </row>
    <row r="21" spans="1:15" x14ac:dyDescent="0.2">
      <c r="A21" s="1051"/>
      <c r="B21" s="1047" t="s">
        <v>527</v>
      </c>
      <c r="C21" s="703" t="s">
        <v>528</v>
      </c>
      <c r="D21" s="703" t="s">
        <v>574</v>
      </c>
      <c r="E21" s="1049" t="s">
        <v>579</v>
      </c>
      <c r="F21" s="1049"/>
      <c r="G21" s="1049"/>
    </row>
    <row r="22" spans="1:15" x14ac:dyDescent="0.2">
      <c r="A22" s="1051"/>
      <c r="B22" s="1048"/>
      <c r="C22" s="702" t="s">
        <v>529</v>
      </c>
      <c r="D22" s="702" t="s">
        <v>578</v>
      </c>
      <c r="E22" s="1050"/>
      <c r="F22" s="1050"/>
      <c r="G22" s="1050"/>
    </row>
  </sheetData>
  <sheetProtection selectLockedCells="1" selectUnlockedCells="1"/>
  <mergeCells count="26">
    <mergeCell ref="M4:M5"/>
    <mergeCell ref="N4:N5"/>
    <mergeCell ref="O2:O5"/>
    <mergeCell ref="A16:A22"/>
    <mergeCell ref="B17:B18"/>
    <mergeCell ref="E17:G18"/>
    <mergeCell ref="B19:B20"/>
    <mergeCell ref="E19:G20"/>
    <mergeCell ref="B21:B22"/>
    <mergeCell ref="E21:G22"/>
    <mergeCell ref="A1:R1"/>
    <mergeCell ref="P2:P5"/>
    <mergeCell ref="Q2:Q5"/>
    <mergeCell ref="R2:R5"/>
    <mergeCell ref="A2:A5"/>
    <mergeCell ref="C2:E2"/>
    <mergeCell ref="F2:I2"/>
    <mergeCell ref="F4:I4"/>
    <mergeCell ref="J2:J5"/>
    <mergeCell ref="B2:B5"/>
    <mergeCell ref="K2:K5"/>
    <mergeCell ref="L2:L5"/>
    <mergeCell ref="M2:N3"/>
    <mergeCell ref="C3:C5"/>
    <mergeCell ref="D3:D5"/>
    <mergeCell ref="E3:E5"/>
  </mergeCells>
  <pageMargins left="0.75" right="0.75" top="1" bottom="1" header="0.5" footer="0.5"/>
  <pageSetup paperSize="9" scale="4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51</vt:i4>
      </vt:variant>
      <vt:variant>
        <vt:lpstr>Именованные диапазоны</vt:lpstr>
      </vt:variant>
      <vt:variant>
        <vt:i4>41</vt:i4>
      </vt:variant>
    </vt:vector>
  </HeadingPairs>
  <TitlesOfParts>
    <vt:vector size="92" baseType="lpstr">
      <vt:lpstr>Исходные данные</vt:lpstr>
      <vt:lpstr>Факт. объемы</vt:lpstr>
      <vt:lpstr>Услуги связи</vt:lpstr>
      <vt:lpstr>Электроэнергия</vt:lpstr>
      <vt:lpstr>Тепло</vt:lpstr>
      <vt:lpstr>Водопотребление</vt:lpstr>
      <vt:lpstr>Водоотведение</vt:lpstr>
      <vt:lpstr>Жбо</vt:lpstr>
      <vt:lpstr>Выгреб</vt:lpstr>
      <vt:lpstr>ТКО</vt:lpstr>
      <vt:lpstr>Дератизация, дезинсекция</vt:lpstr>
      <vt:lpstr>Заправка огнетушителей</vt:lpstr>
      <vt:lpstr>Охрана</vt:lpstr>
      <vt:lpstr>Обслуживание КТС</vt:lpstr>
      <vt:lpstr>Обслуживание АПС</vt:lpstr>
      <vt:lpstr>Тех. обсл. газ. сетей</vt:lpstr>
      <vt:lpstr>Стрелец- мониторинг</vt:lpstr>
      <vt:lpstr>Обслуживание груз. лифта</vt:lpstr>
      <vt:lpstr>Лабораторные исследования</vt:lpstr>
      <vt:lpstr>Абон. плата охраны по КТС</vt:lpstr>
      <vt:lpstr>Программный продукт</vt:lpstr>
      <vt:lpstr>Аутсорсинг</vt:lpstr>
      <vt:lpstr>Подписка</vt:lpstr>
      <vt:lpstr>Налог на имущество</vt:lpstr>
      <vt:lpstr>Налог на землю</vt:lpstr>
      <vt:lpstr>Канцтовары</vt:lpstr>
      <vt:lpstr>Хозрасходы</vt:lpstr>
      <vt:lpstr>Численность (2)</vt:lpstr>
      <vt:lpstr>Численность</vt:lpstr>
      <vt:lpstr>Моющие</vt:lpstr>
      <vt:lpstr>Моющие по прайсу</vt:lpstr>
      <vt:lpstr>Мягкий инвентарь</vt:lpstr>
      <vt:lpstr>Питание норматив</vt:lpstr>
      <vt:lpstr>Питание</vt:lpstr>
      <vt:lpstr>Родительская плата </vt:lpstr>
      <vt:lpstr>ОХ2021</vt:lpstr>
      <vt:lpstr>Налоги 2021</vt:lpstr>
      <vt:lpstr>БН реализация 2021</vt:lpstr>
      <vt:lpstr>БН присмотр 2021</vt:lpstr>
      <vt:lpstr>Общий 2021</vt:lpstr>
      <vt:lpstr>Налоги 2022</vt:lpstr>
      <vt:lpstr>БН реализация 2022</vt:lpstr>
      <vt:lpstr>БН присмотр 2022</vt:lpstr>
      <vt:lpstr>Общий 2022</vt:lpstr>
      <vt:lpstr>Налоги 2023</vt:lpstr>
      <vt:lpstr>БН Реализация 2023</vt:lpstr>
      <vt:lpstr>БН присмотр 2023</vt:lpstr>
      <vt:lpstr>Общий 2023</vt:lpstr>
      <vt:lpstr>Коэффициенты</vt:lpstr>
      <vt:lpstr>Результаты расчетов</vt:lpstr>
      <vt:lpstr>Нормативы</vt:lpstr>
      <vt:lpstr>Водоотведение!Заголовки_для_печати</vt:lpstr>
      <vt:lpstr>Водопотребление!Заголовки_для_печати</vt:lpstr>
      <vt:lpstr>Выгреб!Заголовки_для_печати</vt:lpstr>
      <vt:lpstr>'Дератизация, дезинсекция'!Заголовки_для_печати</vt:lpstr>
      <vt:lpstr>Жбо!Заголовки_для_печати</vt:lpstr>
      <vt:lpstr>Тепло!Заголовки_для_печати</vt:lpstr>
      <vt:lpstr>Электроэнергия!Заголовки_для_печати</vt:lpstr>
      <vt:lpstr>'Абон. плата охраны по КТС'!Область_печати</vt:lpstr>
      <vt:lpstr>Аутсорсинг!Область_печати</vt:lpstr>
      <vt:lpstr>'БН присмотр 2021'!Область_печати</vt:lpstr>
      <vt:lpstr>'БН реализация 2021'!Область_печати</vt:lpstr>
      <vt:lpstr>Водоотведение!Область_печати</vt:lpstr>
      <vt:lpstr>Водопотребление!Область_печати</vt:lpstr>
      <vt:lpstr>Выгреб!Область_печати</vt:lpstr>
      <vt:lpstr>Жбо!Область_печати</vt:lpstr>
      <vt:lpstr>'Заправка огнетушителей'!Область_печати</vt:lpstr>
      <vt:lpstr>Канцтовары!Область_печати</vt:lpstr>
      <vt:lpstr>Коэффициенты!Область_печати</vt:lpstr>
      <vt:lpstr>'Лабораторные исследования'!Область_печати</vt:lpstr>
      <vt:lpstr>Моющие!Область_печати</vt:lpstr>
      <vt:lpstr>'Моющие по прайсу'!Область_печати</vt:lpstr>
      <vt:lpstr>'Мягкий инвентарь'!Область_печати</vt:lpstr>
      <vt:lpstr>'Налог на землю'!Область_печати</vt:lpstr>
      <vt:lpstr>'Налог на имущество'!Область_печати</vt:lpstr>
      <vt:lpstr>'Налоги 2021'!Область_печати</vt:lpstr>
      <vt:lpstr>Нормативы!Область_печати</vt:lpstr>
      <vt:lpstr>'Обслуживание АПС'!Область_печати</vt:lpstr>
      <vt:lpstr>'Обслуживание груз. лифта'!Область_печати</vt:lpstr>
      <vt:lpstr>'Обслуживание КТС'!Область_печати</vt:lpstr>
      <vt:lpstr>'Общий 2021'!Область_печати</vt:lpstr>
      <vt:lpstr>ОХ2021!Область_печати</vt:lpstr>
      <vt:lpstr>Охрана!Область_печати</vt:lpstr>
      <vt:lpstr>Питание!Область_печати</vt:lpstr>
      <vt:lpstr>'Питание норматив'!Область_печати</vt:lpstr>
      <vt:lpstr>'Результаты расчетов'!Область_печати</vt:lpstr>
      <vt:lpstr>'Родительская плата '!Область_печати</vt:lpstr>
      <vt:lpstr>'Стрелец- мониторинг'!Область_печати</vt:lpstr>
      <vt:lpstr>Тепло!Область_печати</vt:lpstr>
      <vt:lpstr>ТКО!Область_печати</vt:lpstr>
      <vt:lpstr>Численность!Область_печати</vt:lpstr>
      <vt:lpstr>'Численность (2)'!Область_печати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2022-10-31T05:24:13Z</dcterms:modified>
</cp:coreProperties>
</file>